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E7aBzt6DYj9O4sBmFgfwAZDP9aYLrosLksedbfjWokk2cc7McZAlt4B7N9D/Q7zi/BgVdlPSKH+GqO2028+UNQ==" workbookSaltValue="jMNTaLgT+7ddlCfBg1Qh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8" i="2"/>
  <c r="N18" i="2"/>
  <c r="T13" i="12"/>
  <c r="V11" i="11"/>
  <c r="BI15" i="11"/>
  <c r="BG15" i="11"/>
  <c r="AP17" i="20"/>
  <c r="BU11" i="17"/>
  <c r="BU10" i="17"/>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6" i="2"/>
  <c r="X10" i="21"/>
  <c r="U9" i="17"/>
  <c r="U19" i="17" s="1"/>
  <c r="AP13" i="16"/>
  <c r="V9" i="16"/>
  <c r="T18" i="17"/>
  <c r="BG15" i="13"/>
  <c r="BE16" i="13"/>
  <c r="BE15" i="13"/>
  <c r="AX20" i="20"/>
  <c r="S19" i="8" l="1"/>
  <c r="AB13" i="21"/>
  <c r="BG10" i="8"/>
  <c r="M13" i="2"/>
  <c r="N13" i="2"/>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V12" i="16"/>
  <c r="BV17" i="16"/>
  <c r="AZ15" i="11"/>
  <c r="AZ18" i="11" s="1"/>
  <c r="BK17" i="11"/>
  <c r="BJ12" i="11"/>
  <c r="BM12" i="11"/>
  <c r="BF10" i="11"/>
  <c r="BM16" i="11"/>
  <c r="BH11" i="16"/>
  <c r="T9" i="11"/>
  <c r="AL16" i="11"/>
  <c r="C16" i="6"/>
  <c r="BE9" i="13"/>
  <c r="AZ9" i="11"/>
  <c r="AZ13" i="11" s="1"/>
  <c r="R17" i="20"/>
  <c r="R18" i="20" s="1"/>
  <c r="AP15" i="20"/>
  <c r="BJ15" i="11"/>
  <c r="BH9" i="11"/>
  <c r="AP10" i="21"/>
  <c r="BK11" i="11"/>
  <c r="X11" i="17"/>
  <c r="BK9" i="11"/>
  <c r="BK12" i="11"/>
  <c r="P17" i="17"/>
  <c r="P18" i="17" s="1"/>
  <c r="P19" i="17" s="1"/>
  <c r="BG10" i="11"/>
  <c r="BL9" i="11"/>
  <c r="BF11" i="11"/>
  <c r="AZ19" i="11"/>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G19" i="7"/>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F20" i="12"/>
  <c r="E20" i="21"/>
  <c r="BD20" i="21"/>
  <c r="BD20" i="16"/>
  <c r="X20" i="21"/>
  <c r="AT20" i="17"/>
  <c r="S20" i="11"/>
  <c r="BK20" i="16"/>
  <c r="AN20" i="16"/>
  <c r="AS20" i="11"/>
  <c r="S20" i="17"/>
  <c r="BE20" i="16"/>
  <c r="J20" i="12"/>
  <c r="AC20" i="11"/>
  <c r="AJ20" i="21"/>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G20" i="12"/>
  <c r="AY20" i="21"/>
  <c r="BC20" i="21"/>
  <c r="AD20" i="21"/>
  <c r="AP20" i="17"/>
  <c r="AU20" i="21"/>
  <c r="BM20" i="16"/>
  <c r="AE20" i="17"/>
  <c r="N20" i="11"/>
  <c r="AD20" i="16"/>
  <c r="AR20" i="11"/>
  <c r="O20" i="11"/>
  <c r="L20" i="17"/>
  <c r="E20" i="17"/>
  <c r="M20" i="11"/>
  <c r="U20" i="11"/>
  <c r="L20" i="11"/>
  <c r="H20" i="16"/>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<sst xmlns="http://schemas.openxmlformats.org/spreadsheetml/2006/main" count="2102" uniqueCount="918">
  <si>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</si>
  <si>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</si>
  <si>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</si>
  <si>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</si>
  <si>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</si>
  <si>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</si>
  <si>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</si>
  <si>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</si>
  <si>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</si>
  <si>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</si>
  <si>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</si>
  <si>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</si>
  <si>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</si>
  <si>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</si>
  <si>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</si>
  <si>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</si>
  <si>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</si>
  <si>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</si>
  <si>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</si>
  <si>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</si>
  <si>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</si>
  <si>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</si>
  <si>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</si>
  <si>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</si>
  <si>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</si>
  <si>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</si>
  <si>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</si>
  <si>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</si>
  <si>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</si>
  <si>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</si>
  <si>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</si>
  <si>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</si>
  <si>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</si>
  <si>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</si>
  <si>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</si>
  <si>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</si>
  <si>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</si>
  <si>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</si>
  <si>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</si>
  <si>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</si>
  <si>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</si>
  <si>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</si>
  <si>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</si>
  <si>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</si>
  <si>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</si>
  <si>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</si>
  <si>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</si>
  <si>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</si>
  <si>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</si>
  <si>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</si>
  <si>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</si>
  <si>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</si>
  <si>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</si>
  <si>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</si>
  <si>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</si>
  <si>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</si>
  <si>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</si>
  <si>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</si>
  <si>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</si>
  <si>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</si>
  <si>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</si>
  <si>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</si>
  <si>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</si>
  <si>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</si>
  <si>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</si>
  <si>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</si>
  <si>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</si>
  <si>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</si>
  <si>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</si>
  <si>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</si>
  <si>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</si>
  <si>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</si>
  <si>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</si>
  <si>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</si>
  <si>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</si>
  <si>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</si>
  <si>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</si>
  <si>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</si>
  <si>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</si>
  <si>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</si>
  <si>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</si>
  <si>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</si>
  <si>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</si>
  <si>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</si>
  <si>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</si>
  <si>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</si>
  <si>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</si>
  <si>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</si>
  <si>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</si>
  <si>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</si>
  <si>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</si>
  <si>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</si>
  <si>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</si>
  <si>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</si>
  <si>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</si>
  <si>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</si>
  <si>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</si>
  <si>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</si>
  <si>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</si>
  <si>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</si>
  <si>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</si>
  <si>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</si>
  <si>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</si>
  <si>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</si>
  <si>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</si>
  <si>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</si>
  <si>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</si>
  <si>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</si>
  <si>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</si>
  <si>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</si>
  <si>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</si>
  <si>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</si>
  <si>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</si>
  <si>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</si>
  <si>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</si>
  <si>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</si>
  <si>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</si>
  <si>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</si>
  <si>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</si>
  <si>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</si>
  <si>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</si>
  <si>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</si>
  <si>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</si>
  <si>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</si>
  <si>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</si>
  <si>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</si>
  <si>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</si>
  <si>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</si>
  <si>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</si>
  <si>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</si>
  <si>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</si>
  <si>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</si>
  <si>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</si>
  <si>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</si>
  <si>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</si>
  <si>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</si>
  <si>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</si>
  <si>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</si>
  <si>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</si>
  <si>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</si>
  <si>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</si>
  <si>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</si>
  <si>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</si>
  <si>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</si>
  <si>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</si>
  <si>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</si>
  <si>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</si>
  <si>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</si>
  <si>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</si>
  <si>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</si>
  <si>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</si>
  <si>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</si>
  <si>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</si>
  <si>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</si>
  <si>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</si>
  <si>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</si>
  <si>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</si>
  <si>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</si>
  <si>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</si>
  <si>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</si>
  <si>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</si>
  <si>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</si>
  <si>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</si>
  <si>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</si>
  <si>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</si>
  <si>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</si>
  <si>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</si>
  <si>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</si>
  <si>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</si>
  <si>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</si>
  <si>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</si>
  <si>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</si>
  <si>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</si>
  <si>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</si>
  <si>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</si>
  <si>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</si>
  <si>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</si>
  <si>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</si>
  <si>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</si>
  <si>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</si>
  <si>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</si>
  <si>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</si>
  <si>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</si>
  <si>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</si>
  <si>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</si>
  <si>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</si>
  <si>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</si>
  <si>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</si>
  <si>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</si>
  <si>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</si>
  <si>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</si>
  <si>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</si>
  <si>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</si>
  <si>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</si>
  <si>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</si>
  <si>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</si>
  <si>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</si>
  <si>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</si>
  <si>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</si>
  <si>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</si>
  <si>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</si>
  <si>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</si>
  <si>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</si>
  <si>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</si>
  <si>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</si>
  <si>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</si>
  <si>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</si>
  <si>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</si>
  <si>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</si>
  <si>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</si>
  <si>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</si>
  <si>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</si>
  <si>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</si>
  <si>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</si>
  <si>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</si>
  <si>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</si>
  <si>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</si>
  <si>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</si>
  <si>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</si>
  <si>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</si>
  <si>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</si>
  <si>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</si>
  <si>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</si>
  <si>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</si>
  <si>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</si>
  <si>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</si>
  <si>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</si>
  <si>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</si>
  <si>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</si>
  <si>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</si>
  <si>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</si>
  <si>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</si>
  <si>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</si>
  <si>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</si>
  <si>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</si>
  <si>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</si>
  <si>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</si>
  <si>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</si>
  <si>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</si>
  <si>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</si>
  <si>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</si>
  <si>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</si>
  <si>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</si>
  <si>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</si>
  <si>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</si>
  <si>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</si>
  <si>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</si>
  <si>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</si>
  <si>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</si>
  <si>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</si>
  <si>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</si>
  <si>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</si>
  <si>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</si>
  <si>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</si>
  <si>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</si>
  <si>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</si>
  <si>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</si>
  <si>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</si>
  <si>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</si>
  <si>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</si>
  <si>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</si>
  <si>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</si>
  <si>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</si>
  <si>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</si>
  <si>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</si>
  <si>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</si>
  <si>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</si>
  <si>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</si>
  <si>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</si>
  <si>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</si>
  <si>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</si>
  <si>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</si>
  <si>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</si>
  <si>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</si>
  <si>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</si>
  <si>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</si>
  <si>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</si>
  <si>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</si>
  <si>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</si>
  <si>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</si>
  <si>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</si>
  <si>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</si>
  <si>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</si>
  <si>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</si>
  <si>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</si>
  <si>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</si>
  <si>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</si>
  <si>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</si>
  <si>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</si>
  <si>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</si>
  <si>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</si>
  <si>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</si>
  <si>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</si>
  <si>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</si>
  <si>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</si>
  <si>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</si>
  <si>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</si>
  <si>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</si>
  <si>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</si>
  <si>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</si>
  <si>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</si>
  <si>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</si>
  <si>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</si>
  <si>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</si>
  <si>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</si>
  <si>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</si>
  <si>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</si>
  <si>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</si>
  <si>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</si>
  <si>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</si>
  <si>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</si>
  <si>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</si>
  <si>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</si>
  <si>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</si>
  <si>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</si>
  <si>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</si>
  <si>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</si>
  <si>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</si>
  <si>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</si>
  <si>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</si>
  <si>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</si>
  <si>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</si>
  <si>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</si>
  <si>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</si>
  <si>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</si>
  <si>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</si>
  <si>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</si>
  <si>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</si>
  <si>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</si>
  <si>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</si>
  <si>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</si>
  <si>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</si>
  <si>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</si>
  <si>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</si>
  <si>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</si>
  <si>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</si>
  <si>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</si>
  <si>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</si>
  <si>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</si>
  <si>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</si>
  <si>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</si>
  <si>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</si>
  <si>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</si>
  <si>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</si>
  <si>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</si>
  <si>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</si>
  <si>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</si>
  <si>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</si>
  <si>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</si>
  <si>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</si>
  <si>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</si>
  <si>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</si>
  <si>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</si>
  <si>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</si>
  <si>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</si>
  <si>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</si>
  <si>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</si>
  <si>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</si>
  <si>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</si>
  <si>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</si>
  <si>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</si>
  <si>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</si>
  <si>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</si>
  <si>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</si>
  <si>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</si>
  <si>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</si>
  <si>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</si>
  <si>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</si>
  <si>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</si>
  <si>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</si>
  <si>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</si>
  <si>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</si>
  <si>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</si>
  <si>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</si>
  <si>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</si>
  <si>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</si>
  <si>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</si>
  <si>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</si>
  <si>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</si>
  <si>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</si>
  <si>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</si>
  <si>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</si>
  <si>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</si>
  <si>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</si>
  <si>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</si>
  <si>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</si>
  <si>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</si>
  <si>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</si>
  <si>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</si>
  <si>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</si>
  <si>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</si>
  <si>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</si>
  <si>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</si>
  <si>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</si>
  <si>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</si>
  <si>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</si>
  <si>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</si>
  <si>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</si>
  <si>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</si>
  <si>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</si>
  <si>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</si>
  <si>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</si>
  <si>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</si>
  <si>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</si>
  <si>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</si>
  <si>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</si>
  <si>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</si>
  <si>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</si>
  <si>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</si>
  <si>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</si>
  <si>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</si>
  <si>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</si>
  <si>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</si>
  <si>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</si>
  <si>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</si>
  <si>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</si>
  <si>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</si>
  <si>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</si>
  <si>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</si>
  <si>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</si>
  <si>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</si>
  <si>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</si>
  <si>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</si>
  <si>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</si>
  <si>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</si>
  <si>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</si>
  <si>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</si>
  <si>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</si>
  <si>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</si>
  <si>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</si>
  <si>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</si>
  <si>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</si>
  <si>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</si>
  <si>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</si>
  <si>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</si>
  <si>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</si>
  <si>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</si>
  <si>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</si>
  <si>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</si>
  <si>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</si>
  <si>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</si>
  <si>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</si>
  <si>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</si>
  <si>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</si>
  <si>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</si>
  <si>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</si>
  <si>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</si>
  <si>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</si>
  <si>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</si>
  <si>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</si>
  <si>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</si>
  <si>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</si>
  <si>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</si>
  <si>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</si>
  <si>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</si>
  <si>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</si>
  <si>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</si>
  <si>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</si>
  <si>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</si>
  <si>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</si>
  <si>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</si>
  <si>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</si>
  <si>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</si>
  <si>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</si>
  <si>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</si>
  <si>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</si>
  <si>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</si>
  <si>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</si>
  <si>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</si>
  <si>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</si>
  <si>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</si>
  <si>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</si>
  <si>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</si>
  <si>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</si>
  <si>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</si>
  <si>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</si>
  <si>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</si>
  <si>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</si>
  <si>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</si>
  <si>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</si>
  <si>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</si>
  <si>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</si>
  <si>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</si>
  <si>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</si>
  <si>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</si>
  <si>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</si>
  <si>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</si>
  <si>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</si>
  <si>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</si>
  <si>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</si>
  <si>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</si>
  <si>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</si>
  <si>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</si>
  <si>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</si>
  <si>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</si>
  <si>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</si>
  <si>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</si>
  <si>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</si>
  <si>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</si>
  <si>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</si>
  <si>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</si>
  <si>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</si>
  <si>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</si>
  <si>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</si>
  <si>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</si>
  <si>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</si>
  <si>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</si>
  <si>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</si>
  <si>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</si>
  <si>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</si>
  <si>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</si>
  <si>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</si>
  <si>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</si>
  <si>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</si>
  <si>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</si>
  <si>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</si>
  <si>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</si>
  <si>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</si>
  <si>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</si>
  <si>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</si>
  <si>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</si>
  <si>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</si>
  <si>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</si>
  <si>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</si>
  <si>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</si>
  <si>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</si>
  <si>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</si>
  <si>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</si>
  <si>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</si>
  <si>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</si>
  <si>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</si>
  <si>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</si>
  <si>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</si>
  <si>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</si>
  <si>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</si>
  <si>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</si>
  <si>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</si>
  <si>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</si>
  <si>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</si>
  <si>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</si>
  <si>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</si>
  <si>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</si>
  <si>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</si>
  <si>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</si>
  <si>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</si>
  <si>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</si>
  <si>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</si>
  <si>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</si>
  <si>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</si>
  <si>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</si>
  <si>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</si>
  <si>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</si>
  <si>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</si>
  <si>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</si>
  <si>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</si>
  <si>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</si>
  <si>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</si>
  <si>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</si>
  <si>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</si>
  <si>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</si>
  <si>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</si>
  <si>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</si>
  <si>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</si>
  <si>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</si>
  <si>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</si>
  <si>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</si>
  <si>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</si>
  <si>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</si>
  <si>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</si>
  <si>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</si>
  <si>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</si>
  <si>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</si>
  <si>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</si>
  <si>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</si>
  <si>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</si>
  <si>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</si>
  <si>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</si>
  <si>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</si>
  <si>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</si>
  <si>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</si>
  <si>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</si>
  <si>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</si>
  <si>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</si>
  <si>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</si>
  <si>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</si>
  <si>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</si>
  <si>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</si>
  <si>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</si>
  <si>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</si>
  <si>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</si>
  <si>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</si>
  <si>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</si>
  <si>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</si>
  <si>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</si>
  <si>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</si>
  <si>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</si>
  <si>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</si>
  <si>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</si>
  <si>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</si>
  <si>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</si>
  <si>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</si>
  <si>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</si>
  <si>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</si>
  <si>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</si>
  <si>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</si>
  <si>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</si>
  <si>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</si>
  <si>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</si>
  <si>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</si>
  <si>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</si>
  <si>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</si>
  <si>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</si>
  <si>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</si>
  <si>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</si>
  <si>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</si>
  <si>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</si>
  <si>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</si>
  <si>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</si>
  <si>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</si>
  <si>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</si>
  <si>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</si>
  <si>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</si>
  <si>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</si>
  <si>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</si>
  <si>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</si>
  <si>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</si>
  <si>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</si>
  <si>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</si>
  <si>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</si>
  <si>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</si>
  <si>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</si>
  <si>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</si>
  <si>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</si>
  <si>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</si>
  <si>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</si>
  <si>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</si>
  <si>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</si>
  <si>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</si>
  <si>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</si>
  <si>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</si>
  <si>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</si>
  <si>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</si>
  <si>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</si>
  <si>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</si>
  <si>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</si>
  <si>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</si>
  <si>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</si>
  <si>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</si>
  <si>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</si>
  <si>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</si>
  <si>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</si>
  <si>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</si>
  <si>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</si>
  <si>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</si>
  <si>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</si>
  <si>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</si>
  <si>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</si>
  <si>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</si>
  <si>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</si>
  <si>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</si>
  <si>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</si>
  <si>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</si>
  <si>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</si>
  <si>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</si>
  <si>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</si>
  <si>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</si>
  <si>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</si>
  <si>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</si>
  <si>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</si>
  <si>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</si>
  <si>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</si>
  <si>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</si>
  <si>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</si>
  <si>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</si>
  <si>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</si>
  <si>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</si>
  <si>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</si>
  <si>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</si>
  <si>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</si>
  <si>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</si>
  <si>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</si>
  <si>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</si>
  <si>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</si>
  <si>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</si>
  <si>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</si>
  <si>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</si>
  <si>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</si>
  <si>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</si>
  <si>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</si>
  <si>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</si>
  <si>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</si>
  <si>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</si>
  <si>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</si>
  <si>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</si>
  <si>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</si>
  <si>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</si>
  <si>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</si>
  <si>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</si>
  <si>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</si>
  <si>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</si>
  <si>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</si>
  <si>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</si>
  <si>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</si>
  <si>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</si>
  <si>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</si>
  <si>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</si>
  <si>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</si>
  <si>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</si>
  <si>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</si>
  <si>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</si>
  <si>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</si>
  <si>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</si>
  <si>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</si>
  <si>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</si>
  <si>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</si>
  <si>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</si>
  <si>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</si>
  <si>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</si>
  <si>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</si>
  <si>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</si>
  <si>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</si>
  <si>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</si>
  <si>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</si>
  <si>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</si>
  <si>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</si>
  <si>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</si>
  <si>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</si>
  <si>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</si>
  <si>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</si>
  <si>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</si>
  <si>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</si>
  <si>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</si>
  <si>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</si>
  <si>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</si>
  <si>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</si>
  <si>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</si>
  <si>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</si>
  <si>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</si>
  <si>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</si>
  <si>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</si>
  <si>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</si>
  <si>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</si>
  <si>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</si>
  <si>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</si>
  <si>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</si>
  <si>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</si>
  <si>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</si>
  <si>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</si>
  <si>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</si>
  <si>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</si>
  <si>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</si>
  <si>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</si>
  <si>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</si>
  <si>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</si>
  <si>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</si>
  <si>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</si>
  <si>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</si>
  <si>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</si>
  <si>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</si>
  <si>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</si>
  <si>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</si>
  <si>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</si>
  <si>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</si>
  <si>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</si>
  <si>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</si>
  <si>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</si>
  <si>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</si>
  <si>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</si>
  <si>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</si>
  <si>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</si>
  <si>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</si>
  <si>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</si>
  <si>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</si>
  <si>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</si>
  <si>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</si>
  <si>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</si>
  <si>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</si>
  <si>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</si>
  <si>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</si>
  <si>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</si>
  <si>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</si>
  <si>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</si>
  <si>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</si>
  <si>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</si>
  <si>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</si>
  <si>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</si>
  <si>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</si>
  <si>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</si>
  <si>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</si>
  <si>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</si>
  <si>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</si>
  <si>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</si>
  <si>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</si>
  <si>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</si>
  <si>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</si>
  <si>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</si>
  <si>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</si>
  <si>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</si>
  <si>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</si>
  <si>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</si>
  <si>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</si>
  <si>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</si>
  <si>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</si>
  <si>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</si>
  <si>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</si>
  <si>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</si>
  <si>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</si>
  <si>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</si>
  <si>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</si>
  <si>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</si>
  <si>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</si>
  <si>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</si>
  <si>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</si>
  <si>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</si>
  <si>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</si>
  <si>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</si>
  <si>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</si>
  <si>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</si>
  <si>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</si>
  <si>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</si>
  <si>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</si>
  <si>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</si>
  <si>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</si>
  <si>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</si>
  <si>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</si>
  <si>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</si>
  <si>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</si>
  <si>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</si>
  <si>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</si>
  <si>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</si>
  <si>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</si>
  <si>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</si>
  <si>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</si>
  <si>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</si>
  <si>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</si>
  <si>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</si>
  <si>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</si>
  <si>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</si>
  <si>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</si>
  <si>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</si>
  <si>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</si>
  <si>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</si>
  <si>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</si>
  <si>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</si>
  <si>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</si>
  <si>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</si>
  <si>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</si>
  <si>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</si>
  <si>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</si>
  <si>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</si>
  <si>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</si>
  <si>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</si>
  <si>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</si>
  <si>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</si>
  <si>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</si>
  <si>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</si>
  <si>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</si>
  <si>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</si>
  <si>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</si>
  <si>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</si>
  <si>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</si>
  <si>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</si>
  <si>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</si>
  <si>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</si>
  <si>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</si>
  <si>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</si>
  <si>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</si>
  <si>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</si>
  <si>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</si>
  <si>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</si>
  <si>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</si>
  <si>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</si>
  <si>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</si>
  <si>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</si>
  <si>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</si>
  <si>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</si>
  <si>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</si>
  <si>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</si>
  <si>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</si>
  <si>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</si>
  <si>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</si>
  <si>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</si>
  <si>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</si>
  <si>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</si>
  <si>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</si>
  <si>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</si>
  <si>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</si>
  <si>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</si>
  <si>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</si>
  <si>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</si>
  <si>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</si>
  <si>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</si>
  <si>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</si>
  <si>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</si>
  <si>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</si>
  <si>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</si>
  <si>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</si>
  <si>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</si>
  <si>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</si>
  <si>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</si>
  <si>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</si>
  <si>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</si>
  <si>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</si>
  <si>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</si>
  <si>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</si>
  <si>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</si>
  <si>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</si>
  <si>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</si>
  <si>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</si>
  <si>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</si>
  <si>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</si>
  <si>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</si>
  <si>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</si>
  <si>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</si>
  <si>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</si>
  <si>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</si>
  <si>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</si>
  <si>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ORDES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</si>
</sst>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sgy/SN9OjOSnhOYX44p7N5O9+gWjkPqtLWHHm/NMtl7EOpcWBVyB0VbYt7IPqNDPQwh+u/4umNbvT3gYhJ1/g==" saltValue="EraWS5NyAYT4Ux+obXtY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ORDES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2</v>
      </c>
      <c r="F10" s="404">
        <f>IF(ISNUMBER(E10/B10),E10/B10," - ")</f>
        <v>2</v>
      </c>
      <c r="G10" s="403">
        <f>IF(ISNUMBER(Datos!K10),Datos!K10," - ")</f>
        <v>1</v>
      </c>
      <c r="H10" s="404">
        <f>IF(ISNUMBER(G10/B10),G10/B10," - ")</f>
        <v>1</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937</v>
      </c>
      <c r="D12" s="404">
        <f>IF(ISNUMBER(C12/Datos!BH12),C12/Datos!BH12," - ")</f>
        <v>468.5</v>
      </c>
      <c r="E12" s="403">
        <f>IF(ISNUMBER(IF(J_V="SI",Datos!J12,Datos!J12+Datos!Z12)),IF(J_V="SI",Datos!J12,Datos!J12+Datos!Z12)," - ")</f>
        <v>372</v>
      </c>
      <c r="F12" s="404">
        <f>IF(ISNUMBER(E12/B12),E12/B12," - ")</f>
        <v>186</v>
      </c>
      <c r="G12" s="403">
        <f>IF(ISNUMBER(IF(J_V="SI",Datos!K12,Datos!K12+Datos!AA12)),IF(J_V="SI",Datos!K12,Datos!K12+Datos!AA12)," - ")</f>
        <v>253</v>
      </c>
      <c r="H12" s="404">
        <f>IF(ISNUMBER(G12/B12),G12/B12," - ")</f>
        <v>126.5</v>
      </c>
      <c r="I12" s="403">
        <f>IF(ISNUMBER(IF(J_V="SI",Datos!L12,Datos!L12+Datos!AB12)),IF(J_V="SI",Datos!L12,Datos!L12+Datos!AB12)," - ")</f>
        <v>1035</v>
      </c>
      <c r="J12" s="404">
        <f>IF(ISNUMBER(I12/B12),I12/B12," - ")</f>
        <v>517.5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951</v>
      </c>
      <c r="D13" s="850" t="str">
        <f>IF(ISNUMBER(C13/Datos!BI13),C13/Datos!BI13," - ")</f>
        <v xml:space="preserve"> - </v>
      </c>
      <c r="E13" s="849">
        <f>SUBTOTAL(9,E8:E12)</f>
        <v>374</v>
      </c>
      <c r="F13" s="850">
        <f>IF(ISNUMBER(E13/B13),E13/B13," - ")</f>
        <v>187</v>
      </c>
      <c r="G13" s="849">
        <f>SUBTOTAL(9,G8:G12)</f>
        <v>254</v>
      </c>
      <c r="H13" s="850">
        <f>IF(ISNUMBER(G13/B13),G13/B13," - ")</f>
        <v>127</v>
      </c>
      <c r="I13" s="849">
        <f>SUBTOTAL(9,I8:I12)</f>
        <v>1050</v>
      </c>
      <c r="J13" s="850">
        <f>IF(ISNUMBER(I13/B13),I13/B13," - ")</f>
        <v>525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378</v>
      </c>
      <c r="D16" s="404">
        <f>IF(ISNUMBER(C16/Datos!BH16),C16/Datos!BH16," - ")</f>
        <v>189</v>
      </c>
      <c r="E16" s="403">
        <f>IF(ISNUMBER(IF(D_I="SI",Datos!J16,Datos!J16+Datos!AD16)),IF(D_I="SI",Datos!J16,Datos!J16+Datos!AD16)," - ")</f>
        <v>228</v>
      </c>
      <c r="F16" s="404">
        <f>IF(ISNUMBER(E16/B16),E16/B16," - ")</f>
        <v>114</v>
      </c>
      <c r="G16" s="403">
        <f>IF(ISNUMBER(IF(D_I="SI",Datos!K16,Datos!K16+Datos!AE16)),IF(D_I="SI",Datos!K16,Datos!K16+Datos!AE16)," - ")</f>
        <v>180</v>
      </c>
      <c r="H16" s="404">
        <f>IF(ISNUMBER(G16/B16),G16/B16," - ")</f>
        <v>90</v>
      </c>
      <c r="I16" s="403">
        <f>IF(ISNUMBER(IF(D_I="SI",Datos!L16,Datos!L16+Datos!AF16)),IF(D_I="SI",Datos!L16,Datos!L16+Datos!AF16)," - ")</f>
        <v>426</v>
      </c>
      <c r="J16" s="404">
        <f>IF(ISNUMBER(I16/B16),I16/B16," - ")</f>
        <v>213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v>
      </c>
      <c r="D17" s="404">
        <f>IF(ISNUMBER(C17/Datos!BH17),C17/Datos!BH17," - ")</f>
        <v>94</v>
      </c>
      <c r="E17" s="403">
        <f>IF(ISNUMBER(IF(D_I="SI",Datos!J17,Datos!J17+Datos!AD17)),IF(D_I="SI",Datos!J17,Datos!J17+Datos!AD17)," - ")</f>
        <v>22</v>
      </c>
      <c r="F17" s="404">
        <f>IF(ISNUMBER(E17/B17),E17/B17," - ")</f>
        <v>22</v>
      </c>
      <c r="G17" s="403">
        <f>IF(ISNUMBER(IF(D_I="SI",Datos!K17,Datos!K17+Datos!AE17)),IF(D_I="SI",Datos!K17,Datos!K17+Datos!AE17)," - ")</f>
        <v>23</v>
      </c>
      <c r="H17" s="404">
        <f>IF(ISNUMBER(G17/B17),G17/B17," - ")</f>
        <v>23</v>
      </c>
      <c r="I17" s="403">
        <f>IF(ISNUMBER(IF(D_I="SI",Datos!L17,Datos!L17+Datos!AF17)),IF(D_I="SI",Datos!L17,Datos!L17+Datos!AF17)," - ")</f>
        <v>93</v>
      </c>
      <c r="J17" s="404">
        <f>IF(ISNUMBER(I17/B17),I17/B17," - ")</f>
        <v>93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472</v>
      </c>
      <c r="D18" s="850" t="str">
        <f>IF(ISNUMBER(C18/Datos!BI18),C18/Datos!BI18," - ")</f>
        <v xml:space="preserve"> - </v>
      </c>
      <c r="E18" s="849">
        <f>SUBTOTAL(9,E14:E17)</f>
        <v>250</v>
      </c>
      <c r="F18" s="850">
        <f>IF(ISNUMBER(E18/B18),E18/B18," - ")</f>
        <v>125</v>
      </c>
      <c r="G18" s="849">
        <f>SUBTOTAL(9,G14:G17)</f>
        <v>203</v>
      </c>
      <c r="H18" s="850">
        <f>IF(ISNUMBER(G18/B18),G18/B18," - ")</f>
        <v>101.5</v>
      </c>
      <c r="I18" s="849">
        <f>SUBTOTAL(9,I14:I17)</f>
        <v>519</v>
      </c>
      <c r="J18" s="850">
        <f>IF(ISNUMBER(I18/B18),I18/B18," - ")</f>
        <v>259.5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1423</v>
      </c>
      <c r="D19" s="795" t="str">
        <f>IF(ISNUMBER(C19/Datos!BI19),C19/Datos!BI19," - ")</f>
        <v xml:space="preserve"> - </v>
      </c>
      <c r="E19" s="794">
        <f>SUBTOTAL(9,E9:E18)</f>
        <v>624</v>
      </c>
      <c r="F19" s="795">
        <f>IF(ISNUMBER(E19/B19),E19/B19," - ")</f>
        <v>312</v>
      </c>
      <c r="G19" s="794">
        <f>SUBTOTAL(9,G9:G18)</f>
        <v>457</v>
      </c>
      <c r="H19" s="795">
        <f>IF(ISNUMBER(G19/B19),G19/B19," - ")</f>
        <v>228.5</v>
      </c>
      <c r="I19" s="794">
        <f>SUBTOTAL(9,I9:I18)</f>
        <v>1569</v>
      </c>
      <c r="J19" s="795">
        <f>IF(ISNUMBER(I19/B19),I19/B19," - ")</f>
        <v>784.5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pYql8BMVsjI7x27RpSX+vhZneg+EOrFOLlsNeZgqh8A5tpQ/SD2qJq/VaPOfVUGUJju0MczxIEaHJSLrk+RJQ==" saltValue="2RtGn1RFXsprZlXoQGrK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ORDES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j/mVlGHHllyFP8HgocmlPJhpEsZ7fYUcAgjSr6W9f0qAB0hyShj/FPF0TE6RaVqzMH8ho2jmqOSxPOOlmoFA==" saltValue="+6Kno9kstqt0h5EuMd1or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ORDES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71</v>
      </c>
      <c r="E12" s="404">
        <f t="shared" si="0"/>
        <v>35.5</v>
      </c>
      <c r="F12" s="403">
        <f>IF(ISNUMBER(Datos!N12),Datos!N12," - ")</f>
        <v>52</v>
      </c>
      <c r="G12" s="404">
        <f t="shared" si="1"/>
        <v>26</v>
      </c>
      <c r="H12" s="403">
        <f>IF(ISNUMBER(Datos!O12),Datos!O12," - ")</f>
        <v>89</v>
      </c>
      <c r="I12" s="404">
        <f t="shared" si="2"/>
        <v>44.5</v>
      </c>
      <c r="BZ12" s="1186">
        <f>Datos!EZ12</f>
        <v>0</v>
      </c>
    </row>
    <row r="13" spans="1:78" ht="14.25" thickTop="1" thickBot="1">
      <c r="A13" s="848" t="str">
        <f>Datos!A13</f>
        <v>TOTAL</v>
      </c>
      <c r="B13" s="849">
        <f>Datos!AP13</f>
        <v>2</v>
      </c>
      <c r="C13" s="851">
        <f>Datos!AR13</f>
        <v>2</v>
      </c>
      <c r="D13" s="849">
        <f>SUBTOTAL(9,D9:D12)</f>
        <v>71</v>
      </c>
      <c r="E13" s="850">
        <f t="shared" si="0"/>
        <v>35.5</v>
      </c>
      <c r="F13" s="849">
        <f>SUBTOTAL(9,F9:F12)</f>
        <v>53</v>
      </c>
      <c r="G13" s="850">
        <f t="shared" si="1"/>
        <v>26.5</v>
      </c>
      <c r="H13" s="849">
        <f>SUBTOTAL(9,H9:H12)</f>
        <v>89</v>
      </c>
      <c r="I13" s="850">
        <f>IF(ISNUMBER(H13/B13),H13/B13," - ")</f>
        <v>44.5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21</v>
      </c>
      <c r="E16" s="404">
        <f t="shared" si="3"/>
        <v>10.5</v>
      </c>
      <c r="F16" s="403">
        <f>IF(ISNUMBER(Datos!N16),Datos!N16," - ")</f>
        <v>85</v>
      </c>
      <c r="G16" s="404">
        <f t="shared" si="4"/>
        <v>42.5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21</v>
      </c>
      <c r="E18" s="850">
        <f t="shared" si="3"/>
        <v>10.5</v>
      </c>
      <c r="F18" s="849">
        <f>SUBTOTAL(9,F15:F17)</f>
        <v>91</v>
      </c>
      <c r="G18" s="850">
        <f t="shared" si="4"/>
        <v>45.5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92</v>
      </c>
      <c r="E19" s="795">
        <f>IF(ISNUMBER(D19/B19),D19/B19," - ")</f>
        <v>46</v>
      </c>
      <c r="F19" s="794">
        <f>SUBTOTAL(9,F8:F18)</f>
        <v>144</v>
      </c>
      <c r="G19" s="795">
        <f>IF(ISNUMBER(F19/B19),F19/B19," - ")</f>
        <v>72</v>
      </c>
      <c r="H19" s="794">
        <f>SUBTOTAL(9,H8:H18)</f>
        <v>91</v>
      </c>
      <c r="I19" s="795">
        <f>IF(ISNUMBER(H19/B19),H19/B19," - ")</f>
        <v>45.5</v>
      </c>
    </row>
    <row r="22" spans="1:78">
      <c r="A22" s="391" t="str">
        <f>Criterios!A4</f>
        <v>Fecha Informe: 24 sep. 2024</v>
      </c>
    </row>
    <row r="27" spans="1:78">
      <c r="A27" s="414"/>
    </row>
  </sheetData>
  <sheetProtection algorithmName="SHA-512" hashValue="r3PuG+WCP7BVKTsX9cpWRELrIn2VzWanPdjrMUfsAu6GEzzWRqJu34eIkNKMLp61Ox7TYM6F5Ez4XlaV5xHmkw==" saltValue="QO9SN2WCaeJzVug0apFQ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ORDES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37</v>
      </c>
      <c r="D12" s="408">
        <f>IF(ISNUMBER(Datos!R12),Datos!R12," - ")</f>
        <v>1070</v>
      </c>
    </row>
    <row r="13" spans="1:4" ht="14.25" thickTop="1" thickBot="1">
      <c r="A13" s="848" t="str">
        <f>Datos!A13</f>
        <v>TOTAL</v>
      </c>
      <c r="B13" s="849">
        <f>SUBTOTAL(9,B9:B12)</f>
        <v>64</v>
      </c>
      <c r="C13" s="853">
        <f>SUBTOTAL(9,C9:C12)</f>
        <v>37</v>
      </c>
      <c r="D13" s="851">
        <f>SUBTOTAL(9,D9:D12)</f>
        <v>1072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3</v>
      </c>
      <c r="D16" s="408">
        <f>IF(ISNUMBER(Datos!R16),Datos!R16," - ")</f>
        <v>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3</v>
      </c>
      <c r="D18" s="851">
        <f>SUBTOTAL(9,D15:D17)</f>
        <v>34</v>
      </c>
    </row>
    <row r="19" spans="1:4" ht="16.5" customHeight="1" thickTop="1" thickBot="1">
      <c r="A19" s="793" t="str">
        <f>Datos!A19</f>
        <v>TOTAL JURISDICCIONES</v>
      </c>
      <c r="B19" s="798">
        <f>SUBTOTAL(9,B8:B18)</f>
        <v>67</v>
      </c>
      <c r="C19" s="799">
        <f>SUBTOTAL(9,C8:C18)</f>
        <v>40</v>
      </c>
      <c r="D19" s="800">
        <f>SUBTOTAL(9,D8:D18)</f>
        <v>1106</v>
      </c>
    </row>
    <row r="20" spans="1:4" ht="7.5" customHeight="1"/>
    <row r="21" spans="1:4" ht="6" customHeight="1"/>
    <row r="22" spans="1:4">
      <c r="A22" s="391" t="str">
        <f>Criterios!A4</f>
        <v>Fecha Informe: 24 sep. 2024</v>
      </c>
    </row>
    <row r="27" spans="1:4">
      <c r="A27" s="414"/>
    </row>
  </sheetData>
  <sheetProtection algorithmName="SHA-512" hashValue="Psa1q5yYHBgPWv9+Z2o0BOT2c/1e+kZ6sOJpJJli76JkUkaIe62TaW2MiMKvLgwP1bUXi2BL6ukk4F6y3378Uw==" saltValue="+Nrxk+us2N437Jroc1c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ORDES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1.8</v>
      </c>
      <c r="C10" s="456">
        <f>IF(ISNUMBER((Datos!J10-Datos!T10)/Datos!T10),(Datos!J10-Datos!T10)/Datos!T10," - ")</f>
        <v>-0.6</v>
      </c>
      <c r="D10" s="456">
        <f>IF(ISNUMBER((Datos!K10-Datos!U10)/Datos!U10),(Datos!K10-Datos!U10)/Datos!U10," - ")</f>
        <v>-0.66666666666666663</v>
      </c>
      <c r="E10" s="456">
        <f>IF(ISNUMBER((Datos!L10-Datos!V10)/Datos!V10),(Datos!L10-Datos!V10)/Datos!V10," - ")</f>
        <v>1.1428571428571428</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-0.16666666666666663</v>
      </c>
      <c r="I10" s="456">
        <f>IF(ISNUMBER(((NºAsuntos!I10/NºAsuntos!G10)-Datos!BE10)/Datos!BE10),((NºAsuntos!I10/NºAsuntos!G10)-Datos!BE10)/Datos!BE10," - ")</f>
        <v>5.4285714285714279</v>
      </c>
      <c r="J10" s="461">
        <f>IF(ISNUMBER((('Resol  Asuntos'!D10/NºAsuntos!G10)-Datos!BF10)/Datos!BF10),(('Resol  Asuntos'!D10/NºAsuntos!G10)-Datos!BF10)/Datos!BF10," - ")</f>
        <v>-1</v>
      </c>
      <c r="K10" s="462">
        <f>IF(ISNUMBER((((NºAsuntos!C10+NºAsuntos!E10)/NºAsuntos!G10)-Datos!BG10)/Datos!BG10),(((NºAsuntos!C10+NºAsuntos!E10)/NºAsuntos!G10)-Datos!BG10)/Datos!BG10," - ")</f>
        <v>3.8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0.13851761846901581</v>
      </c>
      <c r="C12" s="456">
        <f>IF(ISNUMBER(
   IF(J_V="SI",(Datos!J12-Datos!T12)/Datos!T12,(Datos!J12+Datos!Z12-(Datos!T12+Datos!AH12))/(Datos!T12+Datos!AH12))
     ),IF(J_V="SI",(Datos!J12-Datos!T12)/Datos!T12,(Datos!J12+Datos!Z12-(Datos!T12+Datos!AH12))/(Datos!T12+Datos!AH12))," - ")</f>
        <v>0.42528735632183906</v>
      </c>
      <c r="D12" s="456">
        <f>IF(ISNUMBER(
   IF(J_V="SI",(Datos!K12-Datos!U12)/Datos!U12,(Datos!K12+Datos!AA12-(Datos!U12+Datos!AI12))/(Datos!U12+Datos!AI12))
     ),IF(J_V="SI",(Datos!K12-Datos!U12)/Datos!U12,(Datos!K12+Datos!AA12-(Datos!U12+Datos!AI12))/(Datos!U12+Datos!AI12))," - ")</f>
        <v>-0.13945578231292516</v>
      </c>
      <c r="E12" s="456">
        <f>IF(ISNUMBER(
   IF(J_V="SI",(Datos!L12-Datos!V12)/Datos!V12,(Datos!L12+Datos!AB12-(Datos!V12+Datos!AJ12))/(Datos!V12+Datos!AJ12))
     ),IF(J_V="SI",(Datos!L12-Datos!V12)/Datos!V12,(Datos!L12+Datos!AB12-(Datos!V12+Datos!AJ12))/(Datos!V12+Datos!AJ12))," - ")</f>
        <v>0.310126582278481</v>
      </c>
      <c r="F12" s="456">
        <f>IF(ISNUMBER((Datos!M12-Datos!W12)/Datos!W12),(Datos!M12-Datos!W12)/Datos!W12," - ")</f>
        <v>0.109375</v>
      </c>
      <c r="G12" s="457">
        <f>IF(ISNUMBER((Datos!N12-Datos!X12)/Datos!X12),(Datos!N12-Datos!X12)/Datos!X12," - ")</f>
        <v>-0.49019607843137253</v>
      </c>
      <c r="H12" s="455">
        <f>IF(ISNUMBER(((NºAsuntos!G12/NºAsuntos!E12)-Datos!BD12)/Datos!BD12),((NºAsuntos!G12/NºAsuntos!E12)-Datos!BD12)/Datos!BD12," - ")</f>
        <v>-0.39623107307439109</v>
      </c>
      <c r="I12" s="456">
        <f>IF(ISNUMBER(((NºAsuntos!I12/NºAsuntos!G12)-Datos!BE12)/Datos!BE12),((NºAsuntos!I12/NºAsuntos!G12)-Datos!BE12)/Datos!BE12," - ")</f>
        <v>0.52243958573072491</v>
      </c>
      <c r="J12" s="461">
        <f>IF(ISNUMBER((('Resol  Asuntos'!D12/NºAsuntos!G12)-Datos!BF12)/Datos!BF12),(('Resol  Asuntos'!D12/NºAsuntos!G12)-Datos!BF12)/Datos!BF12," - ")</f>
        <v>-0.19111834457103002</v>
      </c>
      <c r="K12" s="462">
        <f>IF(ISNUMBER((((NºAsuntos!C12+NºAsuntos!E12)/NºAsuntos!G12)-Datos!BG12)/Datos!BG12),(((NºAsuntos!C12+NºAsuntos!E12)/NºAsuntos!G12)-Datos!BG12)/Datos!BG12," - ")</f>
        <v>0.403256858655543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0.14855072463768115</v>
      </c>
      <c r="C13" s="855">
        <f>IF(ISNUMBER(
   IF(J_V="SI",(Datos!J13-Datos!T13)/Datos!T13,(Datos!J13+Datos!Z13-(Datos!T13+Datos!AH13))/(Datos!T13+Datos!AH13))
     ),IF(J_V="SI",(Datos!J13-Datos!T13)/Datos!T13,(Datos!J13+Datos!Z13-(Datos!T13+Datos!AH13))/(Datos!T13+Datos!AH13))," - ")</f>
        <v>0.40601503759398494</v>
      </c>
      <c r="D13" s="855">
        <f>IF(ISNUMBER(
   IF(J_V="SI",(Datos!K13-Datos!U13)/Datos!U13,(Datos!K13+Datos!AA13-(Datos!U13+Datos!AI13))/(Datos!U13+Datos!AI13))
     ),IF(J_V="SI",(Datos!K13-Datos!U13)/Datos!U13,(Datos!K13+Datos!AA13-(Datos!U13+Datos!AI13))/(Datos!U13+Datos!AI13))," - ")</f>
        <v>-0.14478114478114479</v>
      </c>
      <c r="E13" s="855">
        <f>IF(ISNUMBER(
   IF(J_V="SI",(Datos!L13-Datos!V13)/Datos!V13,(Datos!L13+Datos!AB13-(Datos!V13+Datos!AJ13))/(Datos!V13+Datos!AJ13))
     ),IF(J_V="SI",(Datos!L13-Datos!V13)/Datos!V13,(Datos!L13+Datos!AB13-(Datos!V13+Datos!AJ13))/(Datos!V13+Datos!AJ13))," - ")</f>
        <v>0.31744040150564617</v>
      </c>
      <c r="F13" s="856">
        <f>IF(ISNUMBER((Datos!M13-Datos!W13)/Datos!W13),(Datos!M13-Datos!W13)/Datos!W13," - ")</f>
        <v>7.575757575757576E-2</v>
      </c>
      <c r="G13" s="857">
        <f>IF(ISNUMBER((Datos!N13-Datos!X13)/Datos!X13),(Datos!N13-Datos!X13)/Datos!X13," - ")</f>
        <v>-0.48039215686274511</v>
      </c>
      <c r="H13" s="857">
        <f>IF(ISNUMBER(((NºAsuntos!G13/NºAsuntos!E13)-Datos!BD13)/Datos!BD13),((NºAsuntos!G13/NºAsuntos!E13)-Datos!BD13)/Datos!BD13," - ")</f>
        <v>-0.3917427393363222</v>
      </c>
      <c r="I13" s="857">
        <f>IF(ISNUMBER(((NºAsuntos!I13/NºAsuntos!G13)-Datos!BE13)/Datos!BE13),((NºAsuntos!I13/NºAsuntos!G13)-Datos!BE13)/Datos!BE13," - ")</f>
        <v>0.54047165057943669</v>
      </c>
      <c r="J13" s="857">
        <f>IF(ISNUMBER((('Resol  Asuntos'!D13/NºAsuntos!G13)-Datos!BF13)/Datos!BF13),(('Resol  Asuntos'!D13/NºAsuntos!G13)-Datos!BF13)/Datos!BF13," - ")</f>
        <v>-0.20173379769836466</v>
      </c>
      <c r="K13" s="857">
        <f>IF(ISNUMBER((((NºAsuntos!C13+NºAsuntos!E13)/NºAsuntos!G13)-Datos!BG13)/Datos!BG13),(((NºAsuntos!C13+NºAsuntos!E13)/NºAsuntos!G13)-Datos!BG13)/Datos!BG13," - ")</f>
        <v>0.41618923548633197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1.8867924528301886E-2</v>
      </c>
      <c r="C16" s="456">
        <f>IF(ISNUMBER(
   IF(D_I="SI",(Datos!J16-Datos!T16)/Datos!T16,(Datos!J16+Datos!AD16-(Datos!T16+Datos!AL16))/(Datos!T16+Datos!AL16))
     ),IF(D_I="SI",(Datos!J16-Datos!T16)/Datos!T16,(Datos!J16+Datos!AD16-(Datos!T16+Datos!AL16))/(Datos!T16+Datos!AL16))," - ")</f>
        <v>-1.2987012987012988E-2</v>
      </c>
      <c r="D16" s="456">
        <f>IF(ISNUMBER(
   IF(D_I="SI",(Datos!K16-Datos!U16)/Datos!U16,(Datos!K16+Datos!AE16-(Datos!U16+Datos!AM16))/(Datos!U16+Datos!AM16))
     ),IF(D_I="SI",(Datos!K16-Datos!U16)/Datos!U16,(Datos!K16+Datos!AE16-(Datos!U16+Datos!AM16))/(Datos!U16+Datos!AM16))," - ")</f>
        <v>-8.6294416243654817E-2</v>
      </c>
      <c r="E16" s="456">
        <f>IF(ISNUMBER(
   IF(D_I="SI",(Datos!L16-Datos!V16)/Datos!V16,(Datos!L16+Datos!AF16-(Datos!V16+Datos!AN16))/(Datos!V16+Datos!AN16))
     ),IF(D_I="SI",(Datos!L16-Datos!V16)/Datos!V16,(Datos!L16+Datos!AF16-(Datos!V16+Datos!AN16))/(Datos!V16+Datos!AN16))," - ")</f>
        <v>4.9261083743842367E-2</v>
      </c>
      <c r="F16" s="456">
        <f>IF(ISNUMBER((Datos!M16-Datos!W16)/Datos!W16),(Datos!M16-Datos!W16)/Datos!W16," - ")</f>
        <v>-0.36363636363636365</v>
      </c>
      <c r="G16" s="457">
        <f>IF(ISNUMBER((Datos!N16-Datos!X16)/Datos!X16),(Datos!N16-Datos!X16)/Datos!X16," - ")</f>
        <v>-0.27350427350427353</v>
      </c>
      <c r="H16" s="455">
        <f>IF(ISNUMBER(((NºAsuntos!G16/NºAsuntos!E16)-Datos!BD16)/Datos!BD16),((NºAsuntos!G16/NºAsuntos!E16)-Datos!BD16)/Datos!BD16," - ")</f>
        <v>-7.4271974352123932E-2</v>
      </c>
      <c r="I16" s="456">
        <f>IF(ISNUMBER(((NºAsuntos!I16/NºAsuntos!G16)-Datos!BE16)/Datos!BE16),((NºAsuntos!I16/NºAsuntos!G16)-Datos!BE16)/Datos!BE16," - ")</f>
        <v>0.14835796387520517</v>
      </c>
      <c r="J16" s="461">
        <f>IF(ISNUMBER((('Resol  Asuntos'!D16/NºAsuntos!G16)-Datos!BF16)/Datos!BF16),(('Resol  Asuntos'!D16/NºAsuntos!G16)-Datos!BF16)/Datos!BF16," - ")</f>
        <v>-0.30353535353535355</v>
      </c>
      <c r="K16" s="462">
        <f>IF(ISNUMBER((((NºAsuntos!C16+NºAsuntos!E16)/NºAsuntos!G16)-Datos!BG16)/Datos!BG16),(((NºAsuntos!C16+NºAsuntos!E16)/NºAsuntos!G16)-Datos!BG16)/Datos!BG16," - ")</f>
        <v>0.10171650055370984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0.16049382716049382</v>
      </c>
      <c r="C17" s="456">
        <f>IF(ISNUMBER(
   IF(D_I="SI",(Datos!J17-Datos!T17)/Datos!T17,(Datos!J17+Datos!AD17-(Datos!T17+Datos!AL17))/(Datos!T17+Datos!AL17))
     ),IF(D_I="SI",(Datos!J17-Datos!T17)/Datos!T17,(Datos!J17+Datos!AD17-(Datos!T17+Datos!AL17))/(Datos!T17+Datos!AL17))," - ")</f>
        <v>-0.3125</v>
      </c>
      <c r="D17" s="456">
        <f>IF(ISNUMBER(
   IF(D_I="SI",(Datos!K17-Datos!U17)/Datos!U17,(Datos!K17+Datos!AE17-(Datos!U17+Datos!AM17))/(Datos!U17+Datos!AM17))
     ),IF(D_I="SI",(Datos!K17-Datos!U17)/Datos!U17,(Datos!K17+Datos!AE17-(Datos!U17+Datos!AM17))/(Datos!U17+Datos!AM17))," - ")</f>
        <v>-0.08</v>
      </c>
      <c r="E17" s="456">
        <f>IF(ISNUMBER(
   IF(D_I="SI",(Datos!L17-Datos!V17)/Datos!V17,(Datos!L17+Datos!AF17-(Datos!V17+Datos!AN17))/(Datos!V17+Datos!AN17))
     ),IF(D_I="SI",(Datos!L17-Datos!V17)/Datos!V17,(Datos!L17+Datos!AF17-(Datos!V17+Datos!AN17))/(Datos!V17+Datos!AN17))," - ")</f>
        <v>5.6818181818181816E-2</v>
      </c>
      <c r="F17" s="456" t="str">
        <f>IF(ISNUMBER((Datos!M17-Datos!W17)/Datos!W17),(Datos!M17-Datos!W17)/Datos!W17," - ")</f>
        <v xml:space="preserve"> - </v>
      </c>
      <c r="G17" s="457">
        <f>IF(ISNUMBER((Datos!N17-Datos!X17)/Datos!X17),(Datos!N17-Datos!X17)/Datos!X17," - ")</f>
        <v>-0.6470588235294118</v>
      </c>
      <c r="H17" s="455">
        <f>IF(ISNUMBER(((NºAsuntos!G17/NºAsuntos!E17)-Datos!BD17)/Datos!BD17),((NºAsuntos!G17/NºAsuntos!E17)-Datos!BD17)/Datos!BD17," - ")</f>
        <v>0.33818181818181814</v>
      </c>
      <c r="I17" s="456">
        <f>IF(ISNUMBER(((NºAsuntos!I17/NºAsuntos!G17)-Datos!BE17)/Datos!BE17),((NºAsuntos!I17/NºAsuntos!G17)-Datos!BE17)/Datos!BE17," - ")</f>
        <v>0.1487154150197629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0.11581377452866502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4.4247787610619468E-2</v>
      </c>
      <c r="C18" s="855">
        <f>IF(ISNUMBER(
   IF(Criterios!B14="SI",(Datos!J18-Datos!T18)/Datos!T18,(Datos!J18+Datos!AD18-(Datos!T18+Datos!AL18))/(Datos!T18+Datos!AL18))
     ),IF(Criterios!B14="SI",(Datos!J18-Datos!T18)/Datos!T18,(Datos!J18+Datos!AD18-(Datos!T18+Datos!AL18))/(Datos!T18+Datos!AL18))," - ")</f>
        <v>-4.9429657794676805E-2</v>
      </c>
      <c r="D18" s="855">
        <f>IF(ISNUMBER(
   IF(Criterios!B14="SI",(Datos!K18-Datos!U18)/Datos!U18,(Datos!K18+Datos!AE18-(Datos!U18+Datos!AM18))/(Datos!U18+Datos!AM18))
     ),IF(Criterios!B14="SI",(Datos!K18-Datos!U18)/Datos!U18,(Datos!K18+Datos!AE18-(Datos!U18+Datos!AM18))/(Datos!U18+Datos!AM18))," - ")</f>
        <v>-8.5585585585585586E-2</v>
      </c>
      <c r="E18" s="855">
        <f>IF(ISNUMBER(
   IF(Criterios!B14="SI",(Datos!L18-Datos!V18)/Datos!V18,(Datos!L18+Datos!AF18-(Datos!V18+Datos!AN18))/(Datos!V18+Datos!AN18))
     ),IF(Criterios!B14="SI",(Datos!L18-Datos!V18)/Datos!V18,(Datos!L18+Datos!AF18-(Datos!V18+Datos!AN18))/(Datos!V18+Datos!AN18))," - ")</f>
        <v>5.0607287449392711E-2</v>
      </c>
      <c r="F18" s="856">
        <f>IF(ISNUMBER((Datos!M18-Datos!W18)/Datos!W18),(Datos!M18-Datos!W18)/Datos!W18," - ")</f>
        <v>-0.36363636363636365</v>
      </c>
      <c r="G18" s="857">
        <f>IF(ISNUMBER((Datos!N18-Datos!X18)/Datos!X18),(Datos!N18-Datos!X18)/Datos!X18," - ")</f>
        <v>-0.32089552238805968</v>
      </c>
      <c r="H18" s="857">
        <f>IF(ISNUMBER(((NºAsuntos!G18/NºAsuntos!E18)-Datos!BD18)/Datos!BD18),((NºAsuntos!G18/NºAsuntos!E18)-Datos!BD18)/Datos!BD18," - ")</f>
        <v>-3.8036036036035968E-2</v>
      </c>
      <c r="I18" s="857">
        <f>IF(ISNUMBER(((NºAsuntos!I18/NºAsuntos!G18)-Datos!BE18)/Datos!BE18),((NºAsuntos!I18/NºAsuntos!G18)-Datos!BE18)/Datos!BE18," - ")</f>
        <v>0.14893998923037033</v>
      </c>
      <c r="J18" s="857">
        <f>IF(ISNUMBER((('Resol  Asuntos'!D18/NºAsuntos!G18)-Datos!BF18)/Datos!BF18),(('Resol  Asuntos'!D18/NºAsuntos!G18)-Datos!BF18)/Datos!BF18," - ")</f>
        <v>-0.3040752351097179</v>
      </c>
      <c r="K18" s="857">
        <f>IF(ISNUMBER((((NºAsuntos!C18+NºAsuntos!E18)/NºAsuntos!G18)-Datos!BG18)/Datos!BG18),(((NºAsuntos!C18+NºAsuntos!E18)/NºAsuntos!G18)-Datos!BG18)/Datos!BG18," - ")</f>
        <v>0.10430259395776627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0.11171875000000001</v>
      </c>
      <c r="C19" s="802">
        <f>IF(ISNUMBER(
   IF(J_V="SI",(Datos!J19-Datos!T19)/Datos!T19,(Datos!J19+Datos!Z19-(Datos!T19+Datos!AH19))/(Datos!T19+Datos!AH19))
     ),IF(J_V="SI",(Datos!J19-Datos!T19)/Datos!T19,(Datos!J19+Datos!Z19-(Datos!T19+Datos!AH19))/(Datos!T19+Datos!AH19))," - ")</f>
        <v>0.17958412098298676</v>
      </c>
      <c r="D19" s="802">
        <f>IF(ISNUMBER(
   IF(J_V="SI",(Datos!K19-Datos!U19)/Datos!U19,(Datos!K19+Datos!AA19-(Datos!U19+Datos!AI19))/(Datos!U19+Datos!AI19))
     ),IF(J_V="SI",(Datos!K19-Datos!U19)/Datos!U19,(Datos!K19+Datos!AA19-(Datos!U19+Datos!AI19))/(Datos!U19+Datos!AI19))," - ")</f>
        <v>-0.11946050096339114</v>
      </c>
      <c r="E19" s="802">
        <f>IF(ISNUMBER(
   IF(J_V="SI",(Datos!L19-Datos!V19)/Datos!V19,(Datos!L19+Datos!AB19-(Datos!V19+Datos!AJ19))/(Datos!V19+Datos!AJ19))
     ),IF(J_V="SI",(Datos!L19-Datos!V19)/Datos!V19,(Datos!L19+Datos!AB19-(Datos!V19+Datos!AJ19))/(Datos!V19+Datos!AJ19))," - ")</f>
        <v>0.21533694810224632</v>
      </c>
      <c r="F19" s="803">
        <f>IF(ISNUMBER((Datos!M19-Datos!W19)/Datos!W19),(Datos!M19-Datos!W19)/Datos!W19," - ")</f>
        <v>-7.0707070707070704E-2</v>
      </c>
      <c r="G19" s="804">
        <f>IF(ISNUMBER((Datos!N19-Datos!X19)/Datos!X19),(Datos!N19-Datos!X19)/Datos!X19," - ")</f>
        <v>-0.38983050847457629</v>
      </c>
      <c r="H19" s="805">
        <f>IF(ISNUMBER((Tasas!B19-Datos!BD19)/Datos!BD19),(Tasas!B19-Datos!BD19)/Datos!BD19," - ")</f>
        <v>-0.25351699520774673</v>
      </c>
      <c r="I19" s="806">
        <f>IF(ISNUMBER((Tasas!C19-Datos!BE19)/Datos!BE19),(Tasas!C19-Datos!BE19)/Datos!BE19," - ")</f>
        <v>0.38021854718832782</v>
      </c>
      <c r="J19" s="807">
        <f>IF(ISNUMBER((Tasas!D19-Datos!BF19)/Datos!BF19),(Tasas!D19-Datos!BF19)/Datos!BF19," - ")</f>
        <v>-0.23736204060119151</v>
      </c>
      <c r="K19" s="807">
        <f>IF(ISNUMBER((Tasas!E19-Datos!BG19)/Datos!BG19),(Tasas!E19-Datos!BG19)/Datos!BG19," - ")</f>
        <v>0.28508079587474733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Zi8qkhzuPuB2hrBUq37JbZNLJKgbaLlpAwDsvCcUL/g5SwPqejtbP2+MCV+JxVSpDmjTJTr8jcxtAK7bzEabg==" saltValue="V9cy6k4igAYmQv/h14za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ORDES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15</v>
      </c>
      <c r="D10" s="444">
        <f>IF(ISNUMBER('Resol  Asuntos'!D10/NºAsuntos!G10),'Resol  Asuntos'!D10/NºAsuntos!G10," - ")</f>
        <v>0</v>
      </c>
      <c r="E10" s="445">
        <f>IF(ISNUMBER((NºAsuntos!C10+NºAsuntos!E10)/NºAsuntos!G10),(NºAsuntos!C10+NºAsuntos!E10)/NºAsuntos!G10," - ")</f>
        <v>16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0.68010752688172038</v>
      </c>
      <c r="C12" s="443">
        <f>IF(ISNUMBER(NºAsuntos!I12/NºAsuntos!G12),NºAsuntos!I12/NºAsuntos!G12," - ")</f>
        <v>4.0909090909090908</v>
      </c>
      <c r="D12" s="444">
        <f>IF(ISNUMBER('Resol  Asuntos'!D12/NºAsuntos!G12),'Resol  Asuntos'!D12/NºAsuntos!G12," - ")</f>
        <v>0.28063241106719367</v>
      </c>
      <c r="E12" s="445">
        <f>IF(ISNUMBER((NºAsuntos!C12+NºAsuntos!E12)/NºAsuntos!G12),(NºAsuntos!C12+NºAsuntos!E12)/NºAsuntos!G12," - ")</f>
        <v>5.1739130434782608</v>
      </c>
      <c r="G12" s="463"/>
    </row>
    <row r="13" spans="1:7" ht="14.25" thickTop="1" thickBot="1">
      <c r="A13" s="848" t="str">
        <f>Datos!A13</f>
        <v>TOTAL</v>
      </c>
      <c r="B13" s="858">
        <f>IF(ISNUMBER(NºAsuntos!G13/NºAsuntos!E13),NºAsuntos!G13/NºAsuntos!E13," - ")</f>
        <v>0.67914438502673802</v>
      </c>
      <c r="C13" s="859">
        <f>IF(ISNUMBER(NºAsuntos!I13/NºAsuntos!G13),NºAsuntos!I13/NºAsuntos!G13," - ")</f>
        <v>4.1338582677165352</v>
      </c>
      <c r="D13" s="860">
        <f>IF(ISNUMBER('Resol  Asuntos'!D13/NºAsuntos!G13),'Resol  Asuntos'!D13/NºAsuntos!G13," - ")</f>
        <v>0.27952755905511811</v>
      </c>
      <c r="E13" s="861">
        <f>IF(ISNUMBER((NºAsuntos!C13+NºAsuntos!E13)/NºAsuntos!G13),(NºAsuntos!C13+NºAsuntos!E13)/NºAsuntos!G13," - ")</f>
        <v>5.2165354330708658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0.78947368421052633</v>
      </c>
      <c r="C16" s="443">
        <f>IF(ISNUMBER(NºAsuntos!I16/NºAsuntos!G16),NºAsuntos!I16/NºAsuntos!G16," - ")</f>
        <v>2.3666666666666667</v>
      </c>
      <c r="D16" s="444">
        <f>IF(ISNUMBER('Resol  Asuntos'!D16/NºAsuntos!G16),'Resol  Asuntos'!D16/NºAsuntos!G16," - ")</f>
        <v>0.11666666666666667</v>
      </c>
      <c r="E16" s="445">
        <f>IF(ISNUMBER((NºAsuntos!C16+NºAsuntos!E16)/NºAsuntos!G16),(NºAsuntos!C16+NºAsuntos!E16)/NºAsuntos!G16," - ")</f>
        <v>3.3666666666666667</v>
      </c>
      <c r="G16" s="463"/>
    </row>
    <row r="17" spans="1:7" ht="13.5" thickBot="1">
      <c r="A17" s="402" t="str">
        <f>Datos!A17</f>
        <v>Jdos. Violencia contra la mujer</v>
      </c>
      <c r="B17" s="442">
        <f>IF(ISNUMBER(NºAsuntos!G17/NºAsuntos!E17),NºAsuntos!G17/NºAsuntos!E17," - ")</f>
        <v>1.0454545454545454</v>
      </c>
      <c r="C17" s="443">
        <f>IF(ISNUMBER(NºAsuntos!I17/NºAsuntos!G17),NºAsuntos!I17/NºAsuntos!G17," - ")</f>
        <v>4.0434782608695654</v>
      </c>
      <c r="D17" s="444">
        <f>IF(ISNUMBER('Resol  Asuntos'!D17/NºAsuntos!G17),'Resol  Asuntos'!D17/NºAsuntos!G17," - ")</f>
        <v>0</v>
      </c>
      <c r="E17" s="445">
        <f>IF(ISNUMBER((NºAsuntos!C17+NºAsuntos!E17)/NºAsuntos!G17),(NºAsuntos!C17+NºAsuntos!E17)/NºAsuntos!G17," - ")</f>
        <v>5.0434782608695654</v>
      </c>
      <c r="G17" s="463"/>
    </row>
    <row r="18" spans="1:7" ht="14.25" thickTop="1" thickBot="1">
      <c r="A18" s="848" t="str">
        <f>Datos!A18</f>
        <v>TOTAL</v>
      </c>
      <c r="B18" s="858">
        <f>IF(ISNUMBER(NºAsuntos!G18/NºAsuntos!E18),NºAsuntos!G18/NºAsuntos!E18," - ")</f>
        <v>0.81200000000000006</v>
      </c>
      <c r="C18" s="859">
        <f>IF(ISNUMBER(NºAsuntos!I18/NºAsuntos!G18),NºAsuntos!I18/NºAsuntos!G18," - ")</f>
        <v>2.5566502463054186</v>
      </c>
      <c r="D18" s="862">
        <f>IF(ISNUMBER('Resol  Asuntos'!D18/NºAsuntos!G18),'Resol  Asuntos'!D18/NºAsuntos!G18," - ")</f>
        <v>0.10344827586206896</v>
      </c>
      <c r="E18" s="861">
        <f>IF(ISNUMBER((NºAsuntos!C18+NºAsuntos!E18)/NºAsuntos!G18),(NºAsuntos!C18+NºAsuntos!E18)/NºAsuntos!G18," - ")</f>
        <v>3.5566502463054186</v>
      </c>
      <c r="G18" s="463"/>
    </row>
    <row r="19" spans="1:7" ht="15.75" customHeight="1" thickTop="1" thickBot="1">
      <c r="A19" s="793" t="str">
        <f>Datos!A19</f>
        <v>TOTAL JURISDICCIONES</v>
      </c>
      <c r="B19" s="808">
        <f>IF(ISNUMBER(NºAsuntos!G19/NºAsuntos!E19),NºAsuntos!G19/NºAsuntos!E19," - ")</f>
        <v>0.73237179487179482</v>
      </c>
      <c r="C19" s="809">
        <f>IF(ISNUMBER(NºAsuntos!I19/NºAsuntos!G19),NºAsuntos!I19/NºAsuntos!G19," - ")</f>
        <v>3.4332603938730855</v>
      </c>
      <c r="D19" s="810">
        <f>IF(ISNUMBER('Resol  Asuntos'!D19/NºAsuntos!G19),'Resol  Asuntos'!D19/NºAsuntos!G19," - ")</f>
        <v>0.20131291028446391</v>
      </c>
      <c r="E19" s="811">
        <f>IF(ISNUMBER((NºAsuntos!C19+NºAsuntos!E19)/NºAsuntos!G19),(NºAsuntos!C19+NºAsuntos!E19)/NºAsuntos!G19," - ")</f>
        <v>4.4792122538293215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49n7v3E9ox/Dbtm/2BtG+fFZt8T/Fimsg8V6udZHA+5rR6kyBwaYrpB5m5naotO9AA+qc24mWAVh03vyyt0Qg==" saltValue="fA658d6hflB/92Azdx4w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ORDES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15</v>
      </c>
      <c r="AB10" s="334">
        <f>IF(ISNUMBER(Datos!R10),Datos!R10," - ")</f>
        <v>2</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45</v>
      </c>
      <c r="AN10" s="244">
        <f>IF(ISNUMBER('Resol  Asuntos'!D10/NºAsuntos!G10),'Resol  Asuntos'!D10/NºAsuntos!G10," - ")</f>
        <v>0</v>
      </c>
      <c r="AO10" s="245">
        <f>IF(ISNUMBER((NºAsuntos!C10+NºAsuntos!E10)/NºAsuntos!G10),(NºAsuntos!C10+NºAsuntos!E10)/NºAsuntos!G10," - ")</f>
        <v>16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v>
      </c>
      <c r="Y12" s="334">
        <f t="shared" si="0"/>
        <v>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71</v>
      </c>
      <c r="AJ12" s="229" t="str">
        <f>IF(ISNUMBER(Datos!BW12),Datos!BW12," - ")</f>
        <v xml:space="preserve"> - </v>
      </c>
      <c r="AK12" s="228" t="str">
        <f>IF(ISNUMBER(Datos!BX12),Datos!BX12," - ")</f>
        <v xml:space="preserve"> - </v>
      </c>
      <c r="AL12" s="243">
        <f>IF(ISNUMBER(NºAsuntos!G12/NºAsuntos!E12),NºAsuntos!G12/NºAsuntos!E12," - ")</f>
        <v>0.68010752688172038</v>
      </c>
      <c r="AM12" s="260">
        <f>IF(ISNUMBER(((NºAsuntos!I12/NºAsuntos!G12)*11)/factor_trimestre),((NºAsuntos!I12/NºAsuntos!G12)*11)/factor_trimestre," - ")</f>
        <v>12.272727272727273</v>
      </c>
      <c r="AN12" s="244">
        <f>IF(ISNUMBER('Resol  Asuntos'!D12/NºAsuntos!G12),'Resol  Asuntos'!D12/NºAsuntos!G12," - ")</f>
        <v>0.28063241106719367</v>
      </c>
      <c r="AO12" s="245">
        <f>IF(ISNUMBER((NºAsuntos!C12+NºAsuntos!E12)/NºAsuntos!G12),(NºAsuntos!C12+NºAsuntos!E12)/NºAsuntos!G12," - ")</f>
        <v>5.1739130434782608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37</v>
      </c>
      <c r="Y13" s="868">
        <f t="shared" si="4"/>
        <v>38</v>
      </c>
      <c r="Z13" s="868">
        <f t="shared" si="4"/>
        <v>0</v>
      </c>
      <c r="AA13" s="868">
        <f t="shared" si="4"/>
        <v>15</v>
      </c>
      <c r="AB13" s="868">
        <f t="shared" si="4"/>
        <v>1072</v>
      </c>
      <c r="AC13" s="868">
        <f t="shared" si="4"/>
        <v>17</v>
      </c>
      <c r="AD13" s="868">
        <f t="shared" si="4"/>
        <v>0</v>
      </c>
      <c r="AE13" s="872">
        <f t="shared" si="4"/>
        <v>0</v>
      </c>
      <c r="AF13" s="865">
        <f t="shared" si="4"/>
        <v>0</v>
      </c>
      <c r="AG13" s="873">
        <f t="shared" si="4"/>
        <v>0</v>
      </c>
      <c r="AH13" s="870">
        <f t="shared" si="4"/>
        <v>0</v>
      </c>
      <c r="AI13" s="865">
        <f t="shared" si="4"/>
        <v>71</v>
      </c>
      <c r="AJ13" s="867">
        <f t="shared" si="4"/>
        <v>0</v>
      </c>
      <c r="AK13" s="870">
        <f>SUBTOTAL(9,AK9:AK12)</f>
        <v>0</v>
      </c>
      <c r="AL13" s="874">
        <f>IF(ISNUMBER(NºAsuntos!G13/NºAsuntos!E13),NºAsuntos!G13/NºAsuntos!E13," - ")</f>
        <v>0.67914438502673802</v>
      </c>
      <c r="AM13" s="874">
        <f>IF(ISNUMBER(((NºAsuntos!I13/NºAsuntos!G13)*11)/factor_trimestre),((NºAsuntos!I13/NºAsuntos!G13)*11)/factor_trimestre," - ")</f>
        <v>12.401574803149607</v>
      </c>
      <c r="AN13" s="875">
        <f>IF(ISNUMBER('Resol  Asuntos'!D13/NºAsuntos!G13),'Resol  Asuntos'!D13/NºAsuntos!G13," - ")</f>
        <v>0.27952755905511811</v>
      </c>
      <c r="AO13" s="876">
        <f>IF(ISNUMBER((NºAsuntos!C13+NºAsuntos!E13)/NºAsuntos!G13),(NºAsuntos!C13+NºAsuntos!E13)/NºAsuntos!G13," - ")</f>
        <v>5.2165354330708658</v>
      </c>
      <c r="AP13" s="877" t="str">
        <f t="shared" si="2"/>
        <v xml:space="preserve"> - </v>
      </c>
      <c r="AQ13" s="877">
        <f>IF(ISNUMBER((H13-W13+K13)/(F13)),(H13-W13+K13)/(F13)," - ")</f>
        <v>-7.1428571428571425E-2</v>
      </c>
      <c r="AR13" s="878">
        <f>IF(ISNUMBER((Datos!P13-Datos!Q13)/(Datos!R13-Datos!P13+Datos!Q13)),(Datos!P13-Datos!Q13)/(Datos!R13-Datos!P13+Datos!Q13)," - ")</f>
        <v>2.583732057416268E-2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378</v>
      </c>
      <c r="G16" s="333">
        <f>IF(ISNUMBER(IF(D_I="SI",Datos!I16,Datos!I16+Datos!AC16)),IF(D_I="SI",Datos!I16,Datos!I16+Datos!AC16)," - ")</f>
        <v>378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180</v>
      </c>
      <c r="X16" s="226">
        <f>IF(ISNUMBER(Datos!Q16),Datos!Q16," - ")</f>
        <v>3</v>
      </c>
      <c r="Y16" s="334">
        <f t="shared" ref="Y16:Y17" si="7">SUM(W16:X16)</f>
        <v>183</v>
      </c>
      <c r="Z16" s="335" t="str">
        <f>IF(ISNUMBER(Datos!CC16),Datos!CC16," - ")</f>
        <v xml:space="preserve"> - </v>
      </c>
      <c r="AA16" s="332">
        <f>IF(ISNUMBER(IF(D_I="SI",Datos!L16,Datos!L16+Datos!AF16)),IF(D_I="SI",Datos!L16,Datos!L16+Datos!AF16)," - ")</f>
        <v>426</v>
      </c>
      <c r="AB16" s="334">
        <f>IF(ISNUMBER(Datos!R16),Datos!R16," - ")</f>
        <v>34</v>
      </c>
      <c r="AC16" s="334">
        <f t="shared" si="6"/>
        <v>460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0.78947368421052633</v>
      </c>
      <c r="AM16" s="260">
        <f>IF(ISNUMBER(((NºAsuntos!I16/NºAsuntos!G16)*11)/factor_trimestre),((NºAsuntos!I16/NºAsuntos!G16)*11)/factor_trimestre," - ")</f>
        <v>7.1000000000000005</v>
      </c>
      <c r="AN16" s="244">
        <f>IF(ISNUMBER('Resol  Asuntos'!D16/NºAsuntos!G16),'Resol  Asuntos'!D16/NºAsuntos!G16," - ")</f>
        <v>0.11666666666666667</v>
      </c>
      <c r="AO16" s="245">
        <f>IF(ISNUMBER((NºAsuntos!C16+NºAsuntos!E16)/NºAsuntos!G16),(NºAsuntos!C16+NºAsuntos!E16)/NºAsuntos!G16," - ")</f>
        <v>3.3666666666666667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0</v>
      </c>
      <c r="Y17" s="334">
        <f t="shared" si="7"/>
        <v>23</v>
      </c>
      <c r="Z17" s="335" t="str">
        <f>IF(ISNUMBER(Datos!CC17),Datos!CC17," - ")</f>
        <v xml:space="preserve"> - </v>
      </c>
      <c r="AA17" s="332">
        <f>IF(ISNUMBER(Datos!L17),Datos!L17,"-")</f>
        <v>93</v>
      </c>
      <c r="AB17" s="334">
        <f>IF(ISNUMBER(Datos!R17),Datos!R17," - ")</f>
        <v>0</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1.0454545454545454</v>
      </c>
      <c r="AM17" s="260">
        <f>IF(ISNUMBER(((NºAsuntos!I17/NºAsuntos!G17)*11)/factor_trimestre),((NºAsuntos!I17/NºAsuntos!G17)*11)/factor_trimestre," - ")</f>
        <v>12.130434782608697</v>
      </c>
      <c r="AN17" s="244">
        <f>IF(ISNUMBER('Resol  Asuntos'!D17/NºAsuntos!G17),'Resol  Asuntos'!D17/NºAsuntos!G17," - ")</f>
        <v>0</v>
      </c>
      <c r="AO17" s="245">
        <f>IF(ISNUMBER((NºAsuntos!C17+NºAsuntos!E17)/NºAsuntos!G17),(NºAsuntos!C17+NºAsuntos!E17)/NºAsuntos!G17," - ")</f>
        <v>5.0434782608695654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378</v>
      </c>
      <c r="G18" s="866">
        <f>SUBTOTAL(9,G15:G17)</f>
        <v>472</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203</v>
      </c>
      <c r="X18" s="867">
        <f t="shared" si="11"/>
        <v>3</v>
      </c>
      <c r="Y18" s="868">
        <f t="shared" si="11"/>
        <v>206</v>
      </c>
      <c r="Z18" s="868">
        <f t="shared" si="11"/>
        <v>0</v>
      </c>
      <c r="AA18" s="868">
        <f t="shared" si="11"/>
        <v>519</v>
      </c>
      <c r="AB18" s="868">
        <f t="shared" si="11"/>
        <v>34</v>
      </c>
      <c r="AC18" s="868">
        <f t="shared" si="11"/>
        <v>553</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0.81200000000000006</v>
      </c>
      <c r="AM18" s="874">
        <f>IF(ISNUMBER(((NºAsuntos!I18/NºAsuntos!G18)*11)/factor_trimestre),((NºAsuntos!I18/NºAsuntos!G18)*11)/factor_trimestre," - ")</f>
        <v>7.6699507389162562</v>
      </c>
      <c r="AN18" s="875">
        <f>IF(ISNUMBER('Resol  Asuntos'!D18/NºAsuntos!G18),'Resol  Asuntos'!D18/NºAsuntos!G18," - ")</f>
        <v>0.10344827586206896</v>
      </c>
      <c r="AO18" s="876">
        <f>IF(ISNUMBER((NºAsuntos!C18+NºAsuntos!E18)/NºAsuntos!G18),(NºAsuntos!C18+NºAsuntos!E18)/NºAsuntos!G18," - ")</f>
        <v>3.5566502463054186</v>
      </c>
      <c r="AP18" s="877" t="str">
        <f t="shared" si="2"/>
        <v xml:space="preserve"> - </v>
      </c>
      <c r="AQ18" s="877">
        <f>IF(ISNUMBER((H18-W18+K18)/(F18)),(H18-W18+K18)/(F18)," - ")</f>
        <v>-0.53703703703703709</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392</v>
      </c>
      <c r="G19" s="821">
        <f t="shared" si="13"/>
        <v>486</v>
      </c>
      <c r="H19" s="820">
        <f t="shared" si="13"/>
        <v>0</v>
      </c>
      <c r="I19" s="822">
        <f t="shared" si="13"/>
        <v>0</v>
      </c>
      <c r="J19" s="822">
        <f t="shared" si="13"/>
        <v>0</v>
      </c>
      <c r="K19" s="881">
        <f t="shared" si="13"/>
        <v>0</v>
      </c>
      <c r="L19" s="822">
        <f t="shared" si="13"/>
        <v>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204</v>
      </c>
      <c r="X19" s="821">
        <f t="shared" si="14"/>
        <v>40</v>
      </c>
      <c r="Y19" s="828">
        <f t="shared" si="14"/>
        <v>244</v>
      </c>
      <c r="Z19" s="828">
        <f t="shared" si="14"/>
        <v>0</v>
      </c>
      <c r="AA19" s="828">
        <f t="shared" si="14"/>
        <v>534</v>
      </c>
      <c r="AB19" s="828">
        <f t="shared" si="14"/>
        <v>1106</v>
      </c>
      <c r="AC19" s="828">
        <f t="shared" si="14"/>
        <v>570</v>
      </c>
      <c r="AD19" s="828">
        <f t="shared" si="14"/>
        <v>0</v>
      </c>
      <c r="AE19" s="830">
        <f t="shared" si="14"/>
        <v>0</v>
      </c>
      <c r="AF19" s="831">
        <f t="shared" si="14"/>
        <v>0</v>
      </c>
      <c r="AG19" s="832">
        <f t="shared" si="14"/>
        <v>0</v>
      </c>
      <c r="AH19" s="830">
        <f t="shared" si="14"/>
        <v>0</v>
      </c>
      <c r="AI19" s="820">
        <f t="shared" si="14"/>
        <v>92</v>
      </c>
      <c r="AJ19" s="820">
        <f t="shared" si="14"/>
        <v>0</v>
      </c>
      <c r="AK19" s="830">
        <f t="shared" si="14"/>
        <v>0</v>
      </c>
      <c r="AL19" s="884">
        <f>IF(ISNUMBER(NºAsuntos!G19/NºAsuntos!E19),NºAsuntos!G19/NºAsuntos!E19," - ")</f>
        <v>0.73237179487179482</v>
      </c>
      <c r="AM19" s="885">
        <f>IF(ISNUMBER(((NºAsuntos!I19/NºAsuntos!G19)*11)/factor_trimestre),((NºAsuntos!I19/NºAsuntos!G19)*11)/factor_trimestre," - ")</f>
        <v>10.299781181619256</v>
      </c>
      <c r="AN19" s="885">
        <f>IF(ISNUMBER('Resol  Asuntos'!D19/NºAsuntos!G19),'Resol  Asuntos'!D19/NºAsuntos!G19," - ")</f>
        <v>0.20131291028446391</v>
      </c>
      <c r="AO19" s="886">
        <f>IF(ISNUMBER((NºAsuntos!C19+NºAsuntos!E19)/NºAsuntos!G19),(NºAsuntos!C19+NºAsuntos!E19)/NºAsuntos!G19," - ")</f>
        <v>4.4792122538293215</v>
      </c>
      <c r="AP19" s="887" t="str">
        <f t="shared" si="2"/>
        <v xml:space="preserve"> - </v>
      </c>
      <c r="AQ19" s="888">
        <f>IF(OR(ISNUMBER(FIND("01",Criterios!A8,1)),ISNUMBER(FIND("02",Criterios!A8,1)),ISNUMBER(FIND("03",Criterios!A8,1)),ISNUMBER(FIND("04",Criterios!A8,1))),(I19-W19+K19)/(F19-K19),(H19-W19+K19)/(F19-K19))</f>
        <v>-0.52040816326530615</v>
      </c>
      <c r="AR19" s="889">
        <f>IF(ISNUMBER((Datos!P19-Datos!Q19)/(Datos!R19-Datos!P19+Datos!Q19)),(Datos!P19-Datos!Q19)/(Datos!R19-Datos!P19+Datos!Q19)," - ")</f>
        <v>2.5023169601482854E-2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210.15549798502377</v>
      </c>
      <c r="G21" s="253">
        <f>IF(ISNUMBER(STDEV(G8:G18)),STDEV(G8:G18),"-")</f>
        <v>215.60333949176206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101.05345120281642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32.623100200113825</v>
      </c>
      <c r="AJ21" s="252">
        <f t="shared" si="18"/>
        <v>0</v>
      </c>
      <c r="AK21" s="254">
        <f t="shared" si="18"/>
        <v>0</v>
      </c>
      <c r="AL21" s="249">
        <f t="shared" si="18"/>
        <v>0.18171112814304341</v>
      </c>
      <c r="AM21" s="250">
        <f t="shared" si="18"/>
        <v>14.362168619249374</v>
      </c>
      <c r="AN21" s="250">
        <f t="shared" si="18"/>
        <v>0.12627855987238013</v>
      </c>
      <c r="AO21" s="251">
        <f t="shared" si="18"/>
        <v>4.7789009841922949</v>
      </c>
      <c r="AP21" s="291" t="str">
        <f t="shared" si="18"/>
        <v>-</v>
      </c>
      <c r="AQ21" s="292">
        <f t="shared" si="18"/>
        <v>0.32923490340960948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nX5YOIgC2uo6lXvP36p/QD3Z+PLKh34MALoShtkAp1SAVCzSRDdwMuGUg4A5iJc+f6KatPVDC9tFPk6oJOu5Q==" saltValue="/uxQdbJlhJmRI+QNKoSo3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ORDES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1.8</v>
      </c>
      <c r="E10" s="348">
        <f>IF(ISNUMBER((Datos!J10-Datos!T10)/Datos!T10),(Datos!J10-Datos!T10)/Datos!T10," - ")</f>
        <v>-0.6</v>
      </c>
      <c r="F10" s="348">
        <f>IF(ISNUMBER((Datos!K10-Datos!U10)/Datos!U10),(Datos!K10-Datos!U10)/Datos!U10," - ")</f>
        <v>-0.66666666666666663</v>
      </c>
      <c r="G10" s="349">
        <f>IF(ISNUMBER((Datos!L10-Datos!V10)/Datos!V10),(Datos!L10-Datos!V10)/Datos!V10," - ")</f>
        <v>1.1428571428571428</v>
      </c>
      <c r="H10" s="230">
        <f>IF(ISNUMBER((Datos!M10-Datos!W10)/Datos!W10),(Datos!M10-Datos!W10)/Datos!W10," - ")</f>
        <v>-1</v>
      </c>
      <c r="I10" s="350">
        <f>IF(ISNUMBER((Tasas!C10-Datos!BE10)/Datos!BE10),(Tasas!C10-Datos!BE10)/Datos!BE10," - ")</f>
        <v>5.4285714285714279</v>
      </c>
      <c r="J10" s="349">
        <f>IF(ISNUMBER((Tasas!D10-Datos!BF10)/Datos!BF10),(Tasas!D10-Datos!BF10)/Datos!BF10," - ")</f>
        <v>-1</v>
      </c>
      <c r="K10" s="351">
        <f>IF(ISNUMBER((Tasas!E10-Datos!BG10)/Datos!BG10),(Tasas!E10-Datos!BG10)/Datos!BG10," - ")</f>
        <v>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0.109375</v>
      </c>
      <c r="I12" s="350">
        <f>IF(ISNUMBER((Tasas!C12-Datos!BE12)/Datos!BE12),(Tasas!C12-Datos!BE12)/Datos!BE12," - ")</f>
        <v>0.52243958573072491</v>
      </c>
      <c r="J12" s="349">
        <f>IF(ISNUMBER((Tasas!D12-Datos!BF12)/Datos!BF12),(Tasas!D12-Datos!BF12)/Datos!BF12," - ")</f>
        <v>-0.19111834457103002</v>
      </c>
      <c r="K12" s="351">
        <f>IF(ISNUMBER((Tasas!E12-Datos!BG12)/Datos!BG12),(Tasas!E12-Datos!BG12)/Datos!BG12," - ")</f>
        <v>0.403256858655543</v>
      </c>
      <c r="M12" t="e">
        <f>IF(Monitorios="SI",Datos!CE12,0)</f>
        <v>#REF!</v>
      </c>
      <c r="N12" t="e">
        <f>IF(Monitorios="SI",Datos!CF12,0)</f>
        <v>#REF!</v>
      </c>
      <c r="O12" t="e">
        <f>IF(Monitorios="SI",Datos!CG12,0)</f>
        <v>#REF!</v>
      </c>
      <c r="P12" t="e">
        <f>IF(Monitorios="SI",Datos!CH12,0)</f>
        <v>#REF!</v>
      </c>
      <c r="Q12">
        <f>IF(J_V="SI",0,Datos!AG12)</f>
        <v>40</v>
      </c>
      <c r="R12">
        <f>IF(J_V="SI",0,Datos!AH12)</f>
        <v>21</v>
      </c>
      <c r="S12">
        <f>IF(J_V="SI",0,Datos!AI12)</f>
        <v>25</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7.575757575757576E-2</v>
      </c>
      <c r="I13" s="357">
        <f>IF(ISNUMBER((Tasas!C13-Datos!BE13)/Datos!BE13),(Tasas!C13-Datos!BE13)/Datos!BE13," - ")</f>
        <v>0.54047165057943669</v>
      </c>
      <c r="J13" s="355">
        <f>IF(ISNUMBER((Tasas!D13-Datos!BF13)/Datos!BF13),(Tasas!D13-Datos!BF13)/Datos!BF13," - ")</f>
        <v>-0.20173379769836466</v>
      </c>
      <c r="K13" s="358">
        <f>IF(ISNUMBER((Tasas!E13-Datos!BG13)/Datos!BG13),(Tasas!E13-Datos!BG13)/Datos!BG13," - ")</f>
        <v>0.41618923548633197</v>
      </c>
      <c r="M13" t="e">
        <f>IF(Monitorios="SI",Datos!CE13,0)</f>
        <v>#REF!</v>
      </c>
      <c r="N13" t="e">
        <f>IF(Monitorios="SI",Datos!CF13,0)</f>
        <v>#REF!</v>
      </c>
      <c r="O13" t="e">
        <f>IF(Monitorios="SI",Datos!CG13,0)</f>
        <v>#REF!</v>
      </c>
      <c r="P13" t="e">
        <f>IF(Monitorios="SI",Datos!CH13,0)</f>
        <v>#REF!</v>
      </c>
      <c r="Q13">
        <f>IF(J_V="SI",0,Datos!AG13)</f>
        <v>40</v>
      </c>
      <c r="R13">
        <f>IF(J_V="SI",0,Datos!AH13)</f>
        <v>21</v>
      </c>
      <c r="S13">
        <f>IF(J_V="SI",0,Datos!AI13)</f>
        <v>25</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1.8867924528301886E-2</v>
      </c>
      <c r="E16" s="348">
        <f>IF(ISNUMBER(
   IF(D_I="SI",(Datos!J16-Datos!T16)/Datos!T16,(Datos!J16+Datos!AD16-(Datos!T16+Datos!AL16))/(Datos!T16+Datos!AL16))
     ),IF(D_I="SI",(Datos!J16-Datos!T16)/Datos!T16,(Datos!J16+Datos!AD16-(Datos!T16+Datos!AL16))/(Datos!T16+Datos!AL16))," - ")</f>
        <v>-1.2987012987012988E-2</v>
      </c>
      <c r="F16" s="348">
        <f>IF(ISNUMBER(
   IF(D_I="SI",(Datos!K16-Datos!U16)/Datos!U16,(Datos!K16+Datos!AE16-(Datos!U16+Datos!AM16))/(Datos!U16+Datos!AM16))
     ),IF(D_I="SI",(Datos!K16-Datos!U16)/Datos!U16,(Datos!K16+Datos!AE16-(Datos!U16+Datos!AM16))/(Datos!U16+Datos!AM16))," - ")</f>
        <v>-8.6294416243654817E-2</v>
      </c>
      <c r="G16" s="349">
        <f>IF(ISNUMBER(
   IF(D_I="SI",(Datos!L16-Datos!V16)/Datos!V16,(Datos!L16+Datos!AF16-(Datos!V16+Datos!AN16))/(Datos!V16+Datos!AN16))
     ),IF(D_I="SI",(Datos!L16-Datos!V16)/Datos!V16,(Datos!L16+Datos!AF16-(Datos!V16+Datos!AN16))/(Datos!V16+Datos!AN16))," - ")</f>
        <v>4.9261083743842367E-2</v>
      </c>
      <c r="H16" s="230">
        <f>IF(ISNUMBER((Datos!M16-Datos!W16)/Datos!W16),(Datos!M16-Datos!W16)/Datos!W16," - ")</f>
        <v>-0.36363636363636365</v>
      </c>
      <c r="I16" s="350">
        <f>IF(ISNUMBER((Tasas!C16-Datos!BE16)/Datos!BE16),(Tasas!C16-Datos!BE16)/Datos!BE16," - ")</f>
        <v>0.14835796387520517</v>
      </c>
      <c r="J16" s="349">
        <f>IF(ISNUMBER((Tasas!D16-Datos!BF16)/Datos!BF16),(Tasas!D16-Datos!BF16)/Datos!BF16," - ")</f>
        <v>-0.30353535353535355</v>
      </c>
      <c r="K16" s="351">
        <f>IF(ISNUMBER((Tasas!E16-Datos!BG16)/Datos!BG16),(Tasas!E16-Datos!BG16)/Datos!BG16," - ")</f>
        <v>0.10171650055370984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0.16049382716049382</v>
      </c>
      <c r="E17" s="348">
        <f>IF(ISNUMBER(
   IF(D_I="SI",(Datos!J17-Datos!T17)/Datos!T17,(Datos!J17+Datos!AD17-(Datos!T17+Datos!AL17))/(Datos!T17+Datos!AL17))
     ),IF(D_I="SI",(Datos!J17-Datos!T17)/Datos!T17,(Datos!J17+Datos!AD17-(Datos!T17+Datos!AL17))/(Datos!T17+Datos!AL17))," - ")</f>
        <v>-0.3125</v>
      </c>
      <c r="F17" s="348">
        <f>IF(ISNUMBER(
   IF(D_I="SI",(Datos!K17-Datos!U17)/Datos!U17,(Datos!K17+Datos!AE17-(Datos!U17+Datos!AM17))/(Datos!U17+Datos!AM17))
     ),IF(D_I="SI",(Datos!K17-Datos!U17)/Datos!U17,(Datos!K17+Datos!AE17-(Datos!U17+Datos!AM17))/(Datos!U17+Datos!AM17))," - ")</f>
        <v>-0.08</v>
      </c>
      <c r="G17" s="349">
        <f>IF(ISNUMBER(
   IF(D_I="SI",(Datos!L17-Datos!V17)/Datos!V17,(Datos!L17+Datos!AF17-(Datos!V17+Datos!AN17))/(Datos!V17+Datos!AN17))
     ),IF(D_I="SI",(Datos!L17-Datos!V17)/Datos!V17,(Datos!L17+Datos!AF17-(Datos!V17+Datos!AN17))/(Datos!V17+Datos!AN17))," - ")</f>
        <v>5.6818181818181816E-2</v>
      </c>
      <c r="H17" s="230" t="str">
        <f>IF(ISNUMBER((Datos!M17-Datos!W17)/Datos!W17),(Datos!M17-Datos!W17)/Datos!W17," - ")</f>
        <v xml:space="preserve"> - </v>
      </c>
      <c r="I17" s="350">
        <f>IF(ISNUMBER((Tasas!C17-Datos!BE17)/Datos!BE17),(Tasas!C17-Datos!BE17)/Datos!BE17," - ")</f>
        <v>0.1487154150197629</v>
      </c>
      <c r="J17" s="349" t="str">
        <f>IF(ISNUMBER((Tasas!D17-Datos!BF17)/Datos!BF17),(Tasas!D17-Datos!BF17)/Datos!BF17," - ")</f>
        <v xml:space="preserve"> - </v>
      </c>
      <c r="K17" s="351">
        <f>IF(ISNUMBER((Tasas!E17-Datos!BG17)/Datos!BG17),(Tasas!E17-Datos!BG17)/Datos!BG17," - ")</f>
        <v>0.11581377452866502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4.4247787610619468E-2</v>
      </c>
      <c r="E18" s="354">
        <f>IF(ISNUMBER(
   IF(D_I="SI",(Datos!J18-Datos!T18)/Datos!T18,(Datos!J18+Datos!AD18-(Datos!T18+Datos!AL18))/(Datos!T18+Datos!AL18))
     ),IF(D_I="SI",(Datos!J18-Datos!T18)/Datos!T18,(Datos!J18+Datos!AD18-(Datos!T18+Datos!AL18))/(Datos!T18+Datos!AL18))," - ")</f>
        <v>-4.9429657794676805E-2</v>
      </c>
      <c r="F18" s="354">
        <f>IF(ISNUMBER(
   IF(D_I="SI",(Datos!K18-Datos!U18)/Datos!U18,(Datos!K18+Datos!AE18-(Datos!U18+Datos!AM18))/(Datos!U18+Datos!AM18))
     ),IF(D_I="SI",(Datos!K18-Datos!U18)/Datos!U18,(Datos!K18+Datos!AE18-(Datos!U18+Datos!AM18))/(Datos!U18+Datos!AM18))," - ")</f>
        <v>-8.5585585585585586E-2</v>
      </c>
      <c r="G18" s="355">
        <f>IF(ISNUMBER(
   IF(D_I="SI",(Datos!L18-Datos!V18)/Datos!V18,(Datos!L18+Datos!AF18-(Datos!V18+Datos!AN18))/(Datos!V18+Datos!AN18))
     ),IF(D_I="SI",(Datos!L18-Datos!V18)/Datos!V18,(Datos!L18+Datos!AF18-(Datos!V18+Datos!AN18))/(Datos!V18+Datos!AN18))," - ")</f>
        <v>5.0607287449392711E-2</v>
      </c>
      <c r="H18" s="356">
        <f>IF(ISNUMBER((Datos!M18-Datos!W18)/Datos!W18),(Datos!M18-Datos!W18)/Datos!W18," - ")</f>
        <v>-0.36363636363636365</v>
      </c>
      <c r="I18" s="357">
        <f>IF(ISNUMBER((Tasas!C18-Datos!BE18)/Datos!BE18),(Tasas!C18-Datos!BE18)/Datos!BE18," - ")</f>
        <v>0.14893998923037033</v>
      </c>
      <c r="J18" s="355">
        <f>IF(ISNUMBER((Tasas!D18-Datos!BF18)/Datos!BF18),(Tasas!D18-Datos!BF18)/Datos!BF18," - ")</f>
        <v>-0.3040752351097179</v>
      </c>
      <c r="K18" s="358">
        <f>IF(ISNUMBER((Tasas!E18-Datos!BG18)/Datos!BG18),(Tasas!E18-Datos!BG18)/Datos!BG18," - ")</f>
        <v>0.10430259395776627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0.11171875000000001</v>
      </c>
      <c r="E19" s="363">
        <f>IF(ISNUMBER(
   IF(J_V="SI",(Datos!J19-Datos!T19)/Datos!T19,(Datos!J19+Datos!Z19-(Datos!T19+Datos!AH19))/(Datos!T19+Datos!AH19))
     ),IF(J_V="SI",(Datos!J19-Datos!T19)/Datos!T19,(Datos!J19+Datos!Z19-(Datos!T19+Datos!AH19))/(Datos!T19+Datos!AH19))," - ")</f>
        <v>0.17958412098298676</v>
      </c>
      <c r="F19" s="363">
        <f>IF(ISNUMBER(
   IF(J_V="SI",(Datos!K19-Datos!U19)/Datos!U19,(Datos!K19+Datos!AA19-(Datos!U19+Datos!AI19))/(Datos!U19+Datos!AI19))
     ),IF(J_V="SI",(Datos!K19-Datos!U19)/Datos!U19,(Datos!K19+Datos!AA19-(Datos!U19+Datos!AI19))/(Datos!U19+Datos!AI19))," - ")</f>
        <v>-0.11946050096339114</v>
      </c>
      <c r="G19" s="364">
        <f>IF(ISNUMBER(
   IF(J_V="SI",(Datos!L19-Datos!V19)/Datos!V19,(Datos!L19+Datos!AB19-(Datos!V19+Datos!AJ19))/(Datos!V19+Datos!AJ19))
     ),IF(J_V="SI",(Datos!L19-Datos!V19)/Datos!V19,(Datos!L19+Datos!AB19-(Datos!V19+Datos!AJ19))/(Datos!V19+Datos!AJ19))," - ")</f>
        <v>0.21533694810224632</v>
      </c>
      <c r="H19" s="365">
        <f>IF(ISNUMBER((Datos!M19-Datos!W19)/Datos!W19),(Datos!M19-Datos!W19)/Datos!W19," - ")</f>
        <v>-7.0707070707070704E-2</v>
      </c>
      <c r="I19" s="362">
        <f>IF(ISNUMBER((Tasas!C19-Datos!BE19)/Datos!BE19),(Tasas!C19-Datos!BE19)/Datos!BE19," - ")</f>
        <v>0.38021854718832782</v>
      </c>
      <c r="J19" s="363">
        <f>IF(ISNUMBER((Tasas!D19-Datos!BF19)/Datos!BF19),(Tasas!D19-Datos!BF19)/Datos!BF19," - ")</f>
        <v>-0.23736204060119151</v>
      </c>
      <c r="K19" s="364">
        <f>IF(ISNUMBER((Tasas!E19-Datos!BG19)/Datos!BG19),(Tasas!E19-Datos!BG19)/Datos!BG19," - ")</f>
        <v>0.28508079587474733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0.86493222122799207</v>
      </c>
      <c r="E21" s="278">
        <f t="shared" si="1"/>
        <v>0.27242893558627379</v>
      </c>
      <c r="F21" s="278">
        <f t="shared" si="1"/>
        <v>0.29136693225099791</v>
      </c>
      <c r="G21" s="279">
        <f t="shared" si="1"/>
        <v>0.54532407866374588</v>
      </c>
      <c r="H21" s="285">
        <f t="shared" si="1"/>
        <v>0.44903386883507612</v>
      </c>
      <c r="I21" s="277">
        <f t="shared" si="1"/>
        <v>2.1013935738024463</v>
      </c>
      <c r="J21" s="278">
        <f t="shared" si="1"/>
        <v>0.33964981181456777</v>
      </c>
      <c r="K21" s="279">
        <f t="shared" si="1"/>
        <v>1.4656803687310793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cqF6iZoRcRXrcN8WkM85cG97ZJXUTMMSQW9mWiuDFshezOcUDIQrgxgSL2A76SO3e3IIxgTA+CMG47jf9eH3w==" saltValue="XPKbWrmJQ55f4iB3qUKz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2</v>
      </c>
      <c r="F10" s="226">
        <f>IF(ISNUMBER(Datos!K10),Datos!K10," - ")</f>
        <v>1</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7.1428571428571425E-2</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378</v>
      </c>
      <c r="D16" s="225">
        <f>IF(ISNUMBER(IF(D_I="SI",Datos!I16,Datos!I16+Datos!AC16)),IF(D_I="SI",Datos!I16,Datos!I16+Datos!AC16)," - ")</f>
        <v>378</v>
      </c>
      <c r="E16" s="226">
        <f>IF(ISNUMBER(IF(D_I="SI",Datos!J16,Datos!J16+Datos!AD16)),IF(D_I="SI",Datos!J16,Datos!J16+Datos!AD16)," - ")</f>
        <v>228</v>
      </c>
      <c r="F16" s="226">
        <f>IF(ISNUMBER(IF(D_I="SI",Datos!K16,Datos!K16+Datos!AE16)),IF(D_I="SI",Datos!K16,Datos!K16+Datos!AE16)," - ")</f>
        <v>180</v>
      </c>
      <c r="G16" s="1034" t="str">
        <f>IF(Datos!E16&lt;&gt;"",Datos!E16,Datos!D16)</f>
        <v>04</v>
      </c>
      <c r="H16" s="227">
        <f>IF(ISNUMBER(IF(D_I="SI",Datos!L16,Datos!L16+Datos!AF16)),IF(D_I="SI",Datos!L16,Datos!L16+Datos!AF16)," - ")</f>
        <v>426</v>
      </c>
      <c r="I16" s="1044" t="str">
        <f>IF(ISNUMBER(Datos!AS16/Datos!BM16),Datos!AS16/Datos!BM16," - ")</f>
        <v xml:space="preserve"> - </v>
      </c>
      <c r="J16" s="1045">
        <f>IF(ISNUMBER(Datos!BY16/Datos!CN16),Datos!BY16/Datos!CN16," - ")</f>
        <v>0</v>
      </c>
      <c r="K16" s="230">
        <f t="shared" si="3"/>
        <v>0.12698412698412698</v>
      </c>
      <c r="L16" s="1025">
        <f>IF(ISNUMBER(NºAsuntos!I16/NºAsuntos!G16),(NºAsuntos!I16/NºAsuntos!G16)*11," - ")</f>
        <v>26.033333333333335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94</v>
      </c>
      <c r="D17" s="225">
        <f>IF(ISNUMBER(IF(D_I="SI",Datos!I17,Datos!I17+Datos!AC17)),IF(D_I="SI",Datos!I17,Datos!I17+Datos!AC17)," - ")</f>
        <v>94</v>
      </c>
      <c r="E17" s="226">
        <f>IF(ISNUMBER(IF(D_I="SI",Datos!J17,Datos!J17+Datos!AD17)),IF(D_I="SI",Datos!J17,Datos!J17+Datos!AD17)," - ")</f>
        <v>22</v>
      </c>
      <c r="F17" s="226">
        <f>IF(ISNUMBER(IF(D_I="SI",Datos!K17,Datos!K17+Datos!AE17)),IF(D_I="SI",Datos!K17,Datos!K17+Datos!AE17)," - ")</f>
        <v>23</v>
      </c>
      <c r="G17" s="1034" t="str">
        <f>IF(Datos!E17&lt;&gt;"",Datos!E17,Datos!D17)</f>
        <v>37</v>
      </c>
      <c r="H17" s="227">
        <f>IF(ISNUMBER(IF(D_I="SI",Datos!L17,Datos!L17+Datos!AF17)),IF(D_I="SI",Datos!L17,Datos!L17+Datos!AF17)," - ")</f>
        <v>93</v>
      </c>
      <c r="I17" s="1044" t="str">
        <f>IF(ISNUMBER(Datos!AS17/Datos!BM17),Datos!AS17/Datos!BM17," - ")</f>
        <v xml:space="preserve"> - </v>
      </c>
      <c r="J17" s="1045" t="str">
        <f>IF(ISNUMBER((Datos!BY17+Datos!BZ17)/Datos!CN17),(Datos!BY17+Datos!BZ17)/Datos!CN17," - ")</f>
        <v xml:space="preserve"> - </v>
      </c>
      <c r="K17" s="230">
        <f t="shared" si="3"/>
        <v>-1.0638297872340425E-2</v>
      </c>
      <c r="L17" s="1025">
        <f>IF(ISNUMBER(NºAsuntos!I17/NºAsuntos!G17),(NºAsuntos!I17/NºAsuntos!G17)*11," - ")</f>
        <v>44.478260869565219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472</v>
      </c>
      <c r="D18" s="1049">
        <f>SUBTOTAL(9,D15:D17)</f>
        <v>472</v>
      </c>
      <c r="E18" s="1050">
        <f>SUBTOTAL(9,E15:E17)</f>
        <v>250</v>
      </c>
      <c r="F18" s="1050">
        <f>SUBTOTAL(9,F15:F17)</f>
        <v>203</v>
      </c>
      <c r="G18" s="1052" t="str">
        <f ca="1">INDIRECT(CONCATENATE("G",ROW()-1))</f>
        <v>37</v>
      </c>
      <c r="H18" s="1053">
        <f ca="1">SUMIF(G$14:G17,G18,H$14:H17)</f>
        <v>93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486</v>
      </c>
      <c r="D19" s="1071">
        <f>SUBTOTAL(9,D9:D18)</f>
        <v>486</v>
      </c>
      <c r="E19" s="1072">
        <f>SUBTOTAL(9,E9:E18)</f>
        <v>252</v>
      </c>
      <c r="F19" s="1072">
        <f>SUBTOTAL(9,F9:F18)</f>
        <v>204</v>
      </c>
      <c r="G19" s="1073"/>
      <c r="H19" s="1074">
        <f ca="1">SUMIF(B9:B18,"TOTAL",H9:H18)</f>
        <v>93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X6Hj9YR9BNcR/xFIxS9vsebdrYxlWgOGZzc61NiybWmvgdIUmdo38+kZOQ8MTbS0wSGoNd+Tyr5MfYAtTBPsg==" saltValue="e9jTcPyehc7Q4HJYIzLC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nQGjP+G2Cl9Uw66gLg0K0e86xFPVgO3FyOAL1cdaHwownJlDkH/JS3EHc1k4uUzF7fgEB6R3b0Z1scX2yzxXA==" saltValue="kZdSat4qbOMkbWAb1Ixe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2</v>
      </c>
      <c r="K10" s="181">
        <v>1</v>
      </c>
      <c r="L10" s="181">
        <v>15</v>
      </c>
      <c r="M10" s="181">
        <v>0</v>
      </c>
      <c r="N10" s="181">
        <v>1</v>
      </c>
      <c r="O10" s="181">
        <v>0</v>
      </c>
      <c r="P10" s="181">
        <v>0</v>
      </c>
      <c r="Q10" s="181">
        <v>0</v>
      </c>
      <c r="R10" s="181">
        <v>2</v>
      </c>
      <c r="S10" s="181">
        <v>5</v>
      </c>
      <c r="T10" s="181">
        <v>5</v>
      </c>
      <c r="U10" s="181">
        <v>3</v>
      </c>
      <c r="V10" s="181">
        <v>7</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5</v>
      </c>
      <c r="BA10" s="129">
        <f t="shared" si="0"/>
        <v>3</v>
      </c>
      <c r="BB10" s="129">
        <f t="shared" si="0"/>
        <v>7</v>
      </c>
      <c r="BC10" s="125">
        <f t="shared" si="0"/>
        <v>2</v>
      </c>
      <c r="BD10" s="126">
        <f>IF(ISNUMBER(BA10/AZ10),BA10/AZ10," - ")</f>
        <v>0.6</v>
      </c>
      <c r="BE10" s="127">
        <f>IF(ISNUMBER(BB10/BA10),BB10/BA10, " - ")</f>
        <v>2.3333333333333335</v>
      </c>
      <c r="BF10" s="127">
        <f>IF(ISNUMBER(BC10/BA10),BC10/BA10, " - ")</f>
        <v>0.66666666666666663</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886</v>
      </c>
      <c r="J12" s="183">
        <v>348</v>
      </c>
      <c r="K12" s="183">
        <v>232</v>
      </c>
      <c r="L12" s="183">
        <v>981</v>
      </c>
      <c r="M12" s="183">
        <v>71</v>
      </c>
      <c r="N12" s="183">
        <v>52</v>
      </c>
      <c r="O12" s="181">
        <v>89</v>
      </c>
      <c r="P12" s="183">
        <v>64</v>
      </c>
      <c r="Q12" s="183">
        <v>37</v>
      </c>
      <c r="R12" s="183">
        <v>1070</v>
      </c>
      <c r="S12" s="183">
        <v>783</v>
      </c>
      <c r="T12" s="183">
        <v>240</v>
      </c>
      <c r="U12" s="183">
        <v>269</v>
      </c>
      <c r="V12" s="183">
        <v>754</v>
      </c>
      <c r="W12" s="183">
        <v>64</v>
      </c>
      <c r="X12" s="189">
        <v>102</v>
      </c>
      <c r="Y12" s="191">
        <v>51</v>
      </c>
      <c r="Z12" s="181">
        <v>24</v>
      </c>
      <c r="AA12" s="181">
        <v>21</v>
      </c>
      <c r="AB12" s="181">
        <v>54</v>
      </c>
      <c r="AC12" s="183">
        <v>0</v>
      </c>
      <c r="AD12" s="183">
        <v>0</v>
      </c>
      <c r="AE12" s="183">
        <v>0</v>
      </c>
      <c r="AF12" s="189">
        <v>0</v>
      </c>
      <c r="AG12" s="202">
        <v>40</v>
      </c>
      <c r="AH12" s="183">
        <v>21</v>
      </c>
      <c r="AI12" s="183">
        <v>25</v>
      </c>
      <c r="AJ12" s="203">
        <v>36</v>
      </c>
      <c r="AK12" s="182">
        <v>0</v>
      </c>
      <c r="AL12" s="183">
        <v>0</v>
      </c>
      <c r="AM12" s="183">
        <v>0</v>
      </c>
      <c r="AN12" s="189">
        <v>0</v>
      </c>
      <c r="AO12" s="259">
        <v>2</v>
      </c>
      <c r="AP12" s="155">
        <v>2</v>
      </c>
      <c r="AQ12" s="155">
        <v>2</v>
      </c>
      <c r="AR12" s="154">
        <v>2</v>
      </c>
      <c r="AS12" s="340" t="s">
        <v>802</v>
      </c>
      <c r="AT12" s="203"/>
      <c r="AU12" s="202"/>
      <c r="AV12" s="203"/>
      <c r="AW12" s="202"/>
      <c r="AX12" s="203"/>
      <c r="AY12" s="126">
        <f t="shared" si="1"/>
        <v>823</v>
      </c>
      <c r="AZ12" s="127">
        <f t="shared" si="1"/>
        <v>261</v>
      </c>
      <c r="BA12" s="127">
        <f t="shared" si="1"/>
        <v>294</v>
      </c>
      <c r="BB12" s="127">
        <f t="shared" si="1"/>
        <v>790</v>
      </c>
      <c r="BC12" s="125">
        <f>IF(ISNUMBER(X12),X12," - ")</f>
        <v>102</v>
      </c>
      <c r="BD12" s="126">
        <f t="shared" si="2"/>
        <v>1.1264367816091954</v>
      </c>
      <c r="BE12" s="127">
        <f t="shared" si="3"/>
        <v>2.6870748299319729</v>
      </c>
      <c r="BF12" s="127">
        <f t="shared" si="4"/>
        <v>0.34693877551020408</v>
      </c>
      <c r="BG12" s="196">
        <f t="shared" si="5"/>
        <v>3.6870748299319729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900</v>
      </c>
      <c r="J13" s="184">
        <f t="shared" si="6"/>
        <v>350</v>
      </c>
      <c r="K13" s="184">
        <f t="shared" si="6"/>
        <v>233</v>
      </c>
      <c r="L13" s="184">
        <f t="shared" si="6"/>
        <v>996</v>
      </c>
      <c r="M13" s="184">
        <f t="shared" si="6"/>
        <v>71</v>
      </c>
      <c r="N13" s="184">
        <f t="shared" si="6"/>
        <v>53</v>
      </c>
      <c r="O13" s="184">
        <f t="shared" si="6"/>
        <v>89</v>
      </c>
      <c r="P13" s="184">
        <f t="shared" si="6"/>
        <v>64</v>
      </c>
      <c r="Q13" s="184">
        <f t="shared" si="6"/>
        <v>37</v>
      </c>
      <c r="R13" s="184">
        <f t="shared" si="6"/>
        <v>1072</v>
      </c>
      <c r="S13" s="184">
        <f t="shared" si="6"/>
        <v>788</v>
      </c>
      <c r="T13" s="184">
        <f t="shared" si="6"/>
        <v>245</v>
      </c>
      <c r="U13" s="184">
        <f t="shared" si="6"/>
        <v>272</v>
      </c>
      <c r="V13" s="184">
        <f t="shared" si="6"/>
        <v>761</v>
      </c>
      <c r="W13" s="184">
        <f t="shared" si="6"/>
        <v>66</v>
      </c>
      <c r="X13" s="184">
        <f t="shared" si="6"/>
        <v>102</v>
      </c>
      <c r="Y13" s="184">
        <f t="shared" si="6"/>
        <v>51</v>
      </c>
      <c r="Z13" s="184">
        <f t="shared" si="6"/>
        <v>24</v>
      </c>
      <c r="AA13" s="184">
        <f t="shared" si="6"/>
        <v>21</v>
      </c>
      <c r="AB13" s="184">
        <f t="shared" si="6"/>
        <v>54</v>
      </c>
      <c r="AC13" s="184">
        <f t="shared" si="6"/>
        <v>0</v>
      </c>
      <c r="AD13" s="184">
        <f t="shared" si="6"/>
        <v>0</v>
      </c>
      <c r="AE13" s="184">
        <f t="shared" si="6"/>
        <v>0</v>
      </c>
      <c r="AF13" s="184">
        <f>SUBTOTAL(9,AF9:AF12)</f>
        <v>0</v>
      </c>
      <c r="AG13" s="184">
        <f t="shared" ref="AG13:AT13" si="7">SUBTOTAL(9,AG8:AG12)</f>
        <v>40</v>
      </c>
      <c r="AH13" s="184">
        <f t="shared" si="7"/>
        <v>21</v>
      </c>
      <c r="AI13" s="184">
        <f t="shared" si="7"/>
        <v>25</v>
      </c>
      <c r="AJ13" s="184">
        <f t="shared" si="7"/>
        <v>36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828</v>
      </c>
      <c r="AZ13" s="184">
        <f>SUBTOTAL(9,AZ8:AZ12)</f>
        <v>266</v>
      </c>
      <c r="BA13" s="184">
        <f>SUBTOTAL(9,BA8:BA12)</f>
        <v>297</v>
      </c>
      <c r="BB13" s="184">
        <f>SUBTOTAL(9,BB8:BB12)</f>
        <v>797</v>
      </c>
      <c r="BC13" s="184">
        <f>SUBTOTAL(9,BC8:BC12)</f>
        <v>104</v>
      </c>
      <c r="BD13" s="205">
        <f>IF(ISNUMBER(BA13/AZ13),BA13/AZ13," - ")</f>
        <v>1.1165413533834587</v>
      </c>
      <c r="BE13" s="206">
        <f>IF(ISNUMBER(BB13/BA13),BB13/BA13, " - ")</f>
        <v>2.6835016835016834</v>
      </c>
      <c r="BF13" s="206">
        <f>IF(ISNUMBER(BC13/BA13),BC13/BA13, " - ")</f>
        <v>0.35016835016835018</v>
      </c>
      <c r="BG13" s="207">
        <f>IF(ISNUMBER((AY13+AZ13)/BA13),(AY13+AZ13)/BA13," - ")</f>
        <v>3.6835016835016834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378</v>
      </c>
      <c r="J16" s="183">
        <v>228</v>
      </c>
      <c r="K16" s="183">
        <v>180</v>
      </c>
      <c r="L16" s="183">
        <v>426</v>
      </c>
      <c r="M16" s="183">
        <v>21</v>
      </c>
      <c r="N16" s="183">
        <v>85</v>
      </c>
      <c r="O16" s="181">
        <v>2</v>
      </c>
      <c r="P16" s="183">
        <v>3</v>
      </c>
      <c r="Q16" s="183">
        <v>3</v>
      </c>
      <c r="R16" s="183">
        <v>34</v>
      </c>
      <c r="S16" s="183">
        <v>371</v>
      </c>
      <c r="T16" s="183">
        <v>231</v>
      </c>
      <c r="U16" s="183">
        <v>197</v>
      </c>
      <c r="V16" s="183">
        <v>406</v>
      </c>
      <c r="W16" s="183">
        <v>33</v>
      </c>
      <c r="X16" s="189">
        <v>117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371</v>
      </c>
      <c r="AZ16" s="127">
        <f t="shared" si="9"/>
        <v>231</v>
      </c>
      <c r="BA16" s="127">
        <f t="shared" si="9"/>
        <v>197</v>
      </c>
      <c r="BB16" s="127">
        <f t="shared" si="9"/>
        <v>406</v>
      </c>
      <c r="BC16" s="125">
        <f>IF(ISNUMBER(W16),W16," - ")</f>
        <v>33</v>
      </c>
      <c r="BD16" s="126">
        <f t="shared" ref="BD16" si="11">IF(ISNUMBER(BA16/AZ16),BA16/AZ16," - ")</f>
        <v>0.8528138528138528</v>
      </c>
      <c r="BE16" s="127">
        <f t="shared" ref="BE16" si="12">IF(ISNUMBER(BB16/BA16),BB16/BA16, " - ")</f>
        <v>2.0609137055837565</v>
      </c>
      <c r="BF16" s="127">
        <f t="shared" ref="BF16" si="13">IF(ISNUMBER(BC16/BA16),BC16/BA16, " - ")</f>
        <v>0.16751269035532995</v>
      </c>
      <c r="BG16" s="196">
        <f t="shared" si="10"/>
        <v>3.0558375634517767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v>
      </c>
      <c r="J17" s="183">
        <v>22</v>
      </c>
      <c r="K17" s="183">
        <v>23</v>
      </c>
      <c r="L17" s="183">
        <v>93</v>
      </c>
      <c r="M17" s="183">
        <v>0</v>
      </c>
      <c r="N17" s="183">
        <v>6</v>
      </c>
      <c r="O17" s="183">
        <v>0</v>
      </c>
      <c r="P17" s="183">
        <v>0</v>
      </c>
      <c r="Q17" s="183">
        <v>0</v>
      </c>
      <c r="R17" s="183">
        <v>0</v>
      </c>
      <c r="S17" s="183">
        <v>81</v>
      </c>
      <c r="T17" s="183">
        <v>32</v>
      </c>
      <c r="U17" s="183">
        <v>25</v>
      </c>
      <c r="V17" s="183">
        <v>88</v>
      </c>
      <c r="W17" s="183">
        <v>0</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81</v>
      </c>
      <c r="AZ17" s="129">
        <f t="shared" si="14"/>
        <v>32</v>
      </c>
      <c r="BA17" s="129">
        <f t="shared" si="14"/>
        <v>25</v>
      </c>
      <c r="BB17" s="129">
        <f t="shared" si="14"/>
        <v>88</v>
      </c>
      <c r="BC17" s="125">
        <f>IF(ISNUMBER(W17),W17," - ")</f>
        <v>0</v>
      </c>
      <c r="BD17" s="126">
        <f>IF(ISNUMBER(BA17/AZ17),BA17/AZ17," - ")</f>
        <v>0.78125</v>
      </c>
      <c r="BE17" s="127">
        <f>IF(ISNUMBER(BB17/BA17),BB17/BA17, " - ")</f>
        <v>3.52</v>
      </c>
      <c r="BF17" s="127">
        <f>IF(ISNUMBER(BC17/BA17),BC17/BA17, " - ")</f>
        <v>0</v>
      </c>
      <c r="BG17" s="196">
        <f>IF(ISNUMBER((AY17+AZ17)/BA17),(AY17+AZ17)/BA17," - ")</f>
        <v>4.5199999999999996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472</v>
      </c>
      <c r="J18" s="184">
        <f t="shared" si="15"/>
        <v>250</v>
      </c>
      <c r="K18" s="184">
        <f t="shared" si="15"/>
        <v>203</v>
      </c>
      <c r="L18" s="184">
        <f t="shared" si="15"/>
        <v>519</v>
      </c>
      <c r="M18" s="184">
        <f t="shared" si="15"/>
        <v>21</v>
      </c>
      <c r="N18" s="184">
        <f t="shared" si="15"/>
        <v>91</v>
      </c>
      <c r="O18" s="184">
        <f t="shared" si="15"/>
        <v>2</v>
      </c>
      <c r="P18" s="184">
        <f t="shared" si="15"/>
        <v>3</v>
      </c>
      <c r="Q18" s="184">
        <f t="shared" si="15"/>
        <v>3</v>
      </c>
      <c r="R18" s="184">
        <f t="shared" si="15"/>
        <v>34</v>
      </c>
      <c r="S18" s="184">
        <f t="shared" si="15"/>
        <v>452</v>
      </c>
      <c r="T18" s="184">
        <f t="shared" si="15"/>
        <v>263</v>
      </c>
      <c r="U18" s="184">
        <f t="shared" si="15"/>
        <v>222</v>
      </c>
      <c r="V18" s="184">
        <f t="shared" si="15"/>
        <v>494</v>
      </c>
      <c r="W18" s="184">
        <f t="shared" si="15"/>
        <v>33</v>
      </c>
      <c r="X18" s="184">
        <f t="shared" si="15"/>
        <v>134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452</v>
      </c>
      <c r="AZ18" s="184">
        <f>SUBTOTAL(9,AZ14:AZ17)</f>
        <v>263</v>
      </c>
      <c r="BA18" s="184">
        <f>SUBTOTAL(9,BA14:BA17)</f>
        <v>222</v>
      </c>
      <c r="BB18" s="184">
        <f>SUBTOTAL(9,BB14:BB17)</f>
        <v>494</v>
      </c>
      <c r="BC18" s="184">
        <f>SUBTOTAL(9,BC14:BC17)</f>
        <v>33</v>
      </c>
      <c r="BD18" s="205">
        <f>IF(ISNUMBER(BA18/AZ18),BA18/AZ18," - ")</f>
        <v>0.844106463878327</v>
      </c>
      <c r="BE18" s="206">
        <f>IF(ISNUMBER(BB18/BA18),BB18/BA18, " - ")</f>
        <v>2.2252252252252251</v>
      </c>
      <c r="BF18" s="206">
        <f>IF(ISNUMBER(BC18/BA18),BC18/BA18, " - ")</f>
        <v>0.14864864864864866</v>
      </c>
      <c r="BG18" s="207">
        <f>IF(ISNUMBER((AY18+AZ18)/BA18),(AY18+AZ18)/BA18," - ")</f>
        <v>3.2207207207207209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1372</v>
      </c>
      <c r="J19" s="134">
        <f t="shared" si="18"/>
        <v>600</v>
      </c>
      <c r="K19" s="134">
        <f t="shared" si="18"/>
        <v>436</v>
      </c>
      <c r="L19" s="134">
        <f t="shared" si="18"/>
        <v>1515</v>
      </c>
      <c r="M19" s="134">
        <f t="shared" si="18"/>
        <v>92</v>
      </c>
      <c r="N19" s="134">
        <f t="shared" si="18"/>
        <v>144</v>
      </c>
      <c r="O19" s="134">
        <f t="shared" si="18"/>
        <v>91</v>
      </c>
      <c r="P19" s="134">
        <f t="shared" si="18"/>
        <v>67</v>
      </c>
      <c r="Q19" s="134">
        <f t="shared" si="18"/>
        <v>40</v>
      </c>
      <c r="R19" s="134">
        <f t="shared" si="18"/>
        <v>1106</v>
      </c>
      <c r="S19" s="134">
        <f t="shared" si="18"/>
        <v>1240</v>
      </c>
      <c r="T19" s="134">
        <f t="shared" si="18"/>
        <v>508</v>
      </c>
      <c r="U19" s="134">
        <f t="shared" si="18"/>
        <v>494</v>
      </c>
      <c r="V19" s="134">
        <f t="shared" si="18"/>
        <v>1255</v>
      </c>
      <c r="W19" s="134">
        <f t="shared" si="18"/>
        <v>99</v>
      </c>
      <c r="X19" s="134">
        <f t="shared" si="18"/>
        <v>236</v>
      </c>
      <c r="Y19" s="134">
        <f t="shared" si="18"/>
        <v>51</v>
      </c>
      <c r="Z19" s="134">
        <f t="shared" si="18"/>
        <v>24</v>
      </c>
      <c r="AA19" s="134">
        <f t="shared" si="18"/>
        <v>21</v>
      </c>
      <c r="AB19" s="134">
        <f t="shared" si="18"/>
        <v>54</v>
      </c>
      <c r="AC19" s="134">
        <f t="shared" si="18"/>
        <v>0</v>
      </c>
      <c r="AD19" s="134">
        <f t="shared" si="18"/>
        <v>0</v>
      </c>
      <c r="AE19" s="134">
        <f t="shared" si="18"/>
        <v>0</v>
      </c>
      <c r="AF19" s="134">
        <f t="shared" si="18"/>
        <v>0</v>
      </c>
      <c r="AG19" s="134">
        <f t="shared" si="18"/>
        <v>40</v>
      </c>
      <c r="AH19" s="134">
        <f t="shared" si="18"/>
        <v>21</v>
      </c>
      <c r="AI19" s="134">
        <f t="shared" si="18"/>
        <v>25</v>
      </c>
      <c r="AJ19" s="134">
        <f t="shared" si="18"/>
        <v>36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1280</v>
      </c>
      <c r="AZ19" s="134">
        <f>SUBTOTAL(9,AZ9:AZ18)</f>
        <v>529</v>
      </c>
      <c r="BA19" s="134">
        <f>SUBTOTAL(9,BA9:BA18)</f>
        <v>519</v>
      </c>
      <c r="BB19" s="134">
        <f>SUBTOTAL(9,BB9:BB18)</f>
        <v>1291</v>
      </c>
      <c r="BC19" s="135">
        <f>SUBTOTAL(9,BC9:BC18)</f>
        <v>137</v>
      </c>
      <c r="BD19" s="213">
        <f>IF(ISNUMBER(BA19/AZ19),BA19/AZ19," - ")</f>
        <v>0.98109640831758038</v>
      </c>
      <c r="BE19" s="210">
        <f>IF(ISNUMBER(BB19/BA19),BB19/BA19, " - ")</f>
        <v>2.4874759152215802</v>
      </c>
      <c r="BF19" s="210">
        <f>IF(ISNUMBER(BC19/BA19),BC19/BA19, " - ")</f>
        <v>0.26396917148362237</v>
      </c>
      <c r="BG19" s="135">
        <f>IF(ISNUMBER((AY19+AZ19)/BA19),(AY19+AZ19)/BA19," - ")</f>
        <v>3.4855491329479769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juXuA1Z8rtPm4IoC61LzYaO6cujAlnL9SjVe2zPRlVM2P+uGoiEUit2joSe29o221hOd56I62Hij0xd9ReAPA==" saltValue="EVXIgyDl9eQ+scIhrzL9t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uc+aeCSYdeb5kFKPFPHFVx3b14hmghYlE6RB2RQrdpFF/WjEpKd5wZ//hxwSZG/w/SRTWuu4q6HSwwrngCt9w==" saltValue="0ABZI0xsP/dtwHbMaPH9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54</v>
      </c>
      <c r="AI12" s="334" t="str">
        <f>IF(ISNUMBER(Datos!CD12),Datos!CD12,"-")</f>
        <v>-</v>
      </c>
      <c r="AJ12" s="334" t="str">
        <f>IF(ISNUMBER(Datos!EN12),Datos!EN12," - ")</f>
        <v xml:space="preserve"> - </v>
      </c>
      <c r="AK12" s="334"/>
      <c r="AL12" s="479"/>
      <c r="AM12" s="335">
        <f>IF(ISNUMBER(Datos!R12),Datos!R12," - ")</f>
        <v>1070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71</v>
      </c>
      <c r="BD12" s="229">
        <f>IF(ISNUMBER(Datos!N12),Datos!N12," - ")</f>
        <v>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0.68010752688172038</v>
      </c>
      <c r="BH12" s="260">
        <f>IF(ISNUMBER(((IF(J_V="SI",Datos!L12/Datos!K12,(Datos!L12+Datos!AB12)/(Datos!K12+Datos!AA12)))*11)/factor_trimestre),((IF(J_V="SI",Datos!L12/Datos!K12,(Datos!L12+Datos!AB12)/(Datos!K12+Datos!AA12)))*11)/factor_trimestre," - ")</f>
        <v>12.272727272727273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2.5886864813039309E-2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37</v>
      </c>
      <c r="AD13" s="899">
        <f t="shared" si="1"/>
        <v>0</v>
      </c>
      <c r="AE13" s="899">
        <f t="shared" si="1"/>
        <v>0</v>
      </c>
      <c r="AF13" s="899">
        <f t="shared" si="1"/>
        <v>15</v>
      </c>
      <c r="AG13" s="899">
        <f t="shared" si="1"/>
        <v>0</v>
      </c>
      <c r="AH13" s="899">
        <f t="shared" si="1"/>
        <v>54</v>
      </c>
      <c r="AI13" s="899">
        <f t="shared" si="1"/>
        <v>0</v>
      </c>
      <c r="AJ13" s="899">
        <f t="shared" si="1"/>
        <v>0</v>
      </c>
      <c r="AK13" s="899">
        <f t="shared" si="1"/>
        <v>0</v>
      </c>
      <c r="AL13" s="899">
        <f t="shared" si="1"/>
        <v>0</v>
      </c>
      <c r="AM13" s="899">
        <f t="shared" si="1"/>
        <v>1072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71</v>
      </c>
      <c r="BD13" s="899">
        <f t="shared" si="1"/>
        <v>53</v>
      </c>
      <c r="BE13" s="899">
        <f t="shared" si="1"/>
        <v>0</v>
      </c>
      <c r="BF13" s="899">
        <f t="shared" si="1"/>
        <v>0</v>
      </c>
      <c r="BG13" s="899">
        <f>IF(ISNUMBER(Datos!K13/Datos!J13),Datos!K13/Datos!J13," - ")</f>
        <v>0.6657142857142857</v>
      </c>
      <c r="BH13" s="903">
        <f>IF(ISNUMBER(((Datos!L13/Datos!K13)*11)/factor_trimestre),((Datos!L13/Datos!K13)*11)/factor_trimestre," - ")</f>
        <v>12.824034334763951</v>
      </c>
      <c r="BI13" s="899">
        <f>IF(ISNUMBER('Resol  Asuntos'!D13/NºAsuntos!G13),'Resol  Asuntos'!D13/NºAsuntos!G13," - ")</f>
        <v>0.27952755905511811</v>
      </c>
      <c r="BJ13" s="899" t="str">
        <f>IF(ISNUMBER(Datos!CI13/Datos!CJ13),Datos!CI13/Datos!CJ13," - ")</f>
        <v xml:space="preserve"> - </v>
      </c>
      <c r="BK13" s="899">
        <f>SUBTOTAL(9,BK8:BK12)</f>
        <v>0</v>
      </c>
      <c r="BL13" s="899">
        <f>IF(ISNUMBER((I13-AB13+L13)/(F13)),(I13-AB13+L13)/(F13)," - ")</f>
        <v>-7.1428571428571425E-2</v>
      </c>
      <c r="BM13" s="904">
        <f>SUBTOTAL(9,BM9:BM12)</f>
        <v>2.5886864813039309E-2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378</v>
      </c>
      <c r="G16" s="598">
        <f>IF(ISNUMBER(IF(D_I="SI",Datos!I16,Datos!I16+Datos!AC16)),IF(D_I="SI",Datos!I16,Datos!I16+Datos!AC16)," - ")</f>
        <v>378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180</v>
      </c>
      <c r="AC16" s="226">
        <f>IF(ISNUMBER(Datos!Q16),Datos!Q16," - ")</f>
        <v>3</v>
      </c>
      <c r="AD16" s="334"/>
      <c r="AE16" s="484"/>
      <c r="AF16" s="596">
        <f>IF(ISNUMBER(IF(D_I="SI",Datos!L16,Datos!L16+Datos!AF16)),IF(D_I="SI",Datos!L16,Datos!L16+Datos!AF16)," - ")</f>
        <v>426</v>
      </c>
      <c r="AG16" s="334"/>
      <c r="AH16" s="334"/>
      <c r="AI16" s="334"/>
      <c r="AJ16" s="334"/>
      <c r="AK16" s="334"/>
      <c r="AL16" s="479"/>
      <c r="AM16" s="335">
        <f>IF(ISNUMBER(Datos!R16),Datos!R16," - ")</f>
        <v>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0.78947368421052633</v>
      </c>
      <c r="BH16" s="260">
        <f>IF(ISNUMBER(((IF(D_I="SI",Datos!L16/Datos!K16,(Datos!L16+Datos!AF16)/(Datos!K16+Datos!AE16)))*11)/factor_trimestre),((IF(D_I="SI",Datos!L16/Datos!K16,(Datos!L16+Datos!AF16)/(Datos!K16+Datos!AE16)))*11)/factor_trimestre," - ")</f>
        <v>7.1000000000000005</v>
      </c>
      <c r="BI16" s="243">
        <f>IF(ISNUMBER('Resol  Asuntos'!D16/NºAsuntos!G16),'Resol  Asuntos'!D16/NºAsuntos!G16," - ")</f>
        <v>0.11666666666666667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0</v>
      </c>
      <c r="AD17" s="334"/>
      <c r="AE17" s="484"/>
      <c r="AF17" s="332">
        <f>IF(ISNUMBER(Datos!L17),Datos!L17,"-")</f>
        <v>93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1.0454545454545454</v>
      </c>
      <c r="BH17" s="260">
        <f>IF(ISNUMBER(((IF(D_I="SI",Datos!L17/Datos!K17,(Datos!L17+Datos!AF17)/(Datos!K17+Datos!AE17)))*11)/factor_trimestre),((IF(D_I="SI",Datos!L17/Datos!K17,(Datos!L17+Datos!AF17)/(Datos!K17+Datos!AE17)))*11)/factor_trimestre," - ")</f>
        <v>12.130434782608697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378</v>
      </c>
      <c r="G18" s="898">
        <f>SUBTOTAL(9,G15:G17)</f>
        <v>472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203</v>
      </c>
      <c r="AC18" s="899">
        <f t="shared" si="4"/>
        <v>3</v>
      </c>
      <c r="AD18" s="899">
        <f t="shared" si="4"/>
        <v>0</v>
      </c>
      <c r="AE18" s="899">
        <f t="shared" si="4"/>
        <v>0</v>
      </c>
      <c r="AF18" s="899">
        <f t="shared" si="4"/>
        <v>519</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91</v>
      </c>
      <c r="BE18" s="899">
        <f t="shared" si="4"/>
        <v>0</v>
      </c>
      <c r="BF18" s="899">
        <f t="shared" si="4"/>
        <v>0</v>
      </c>
      <c r="BG18" s="899">
        <f>IF(ISNUMBER(Datos!K18/Datos!J18),Datos!K18/Datos!J18," - ")</f>
        <v>0.81200000000000006</v>
      </c>
      <c r="BH18" s="903">
        <f>IF(ISNUMBER(((Datos!L18/Datos!K18)*11)/factor_trimestre),((Datos!L18/Datos!K18)*11)/factor_trimestre," - ")</f>
        <v>7.6699507389162562</v>
      </c>
      <c r="BI18" s="899">
        <f>SUBTOTAL(9,BI15:BI17)</f>
        <v>0.11666666666666667</v>
      </c>
      <c r="BJ18" s="899">
        <f>SUBTOTAL(9,BJ15:BJ17)</f>
        <v>0</v>
      </c>
      <c r="BK18" s="899">
        <f>SUBTOTAL(9,BK15:BK17)</f>
        <v>0</v>
      </c>
      <c r="BL18" s="899">
        <f>IF(ISNUMBER((I18-AB18+L18)/(F18)),(I18-AB18+L18)/(F18)," - ")</f>
        <v>-0.53703703703703709</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392</v>
      </c>
      <c r="G19" s="820">
        <f t="shared" si="6"/>
        <v>486</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204</v>
      </c>
      <c r="AC19" s="821">
        <f t="shared" si="7"/>
        <v>40</v>
      </c>
      <c r="AD19" s="821">
        <f t="shared" si="7"/>
        <v>0</v>
      </c>
      <c r="AE19" s="821">
        <f t="shared" si="7"/>
        <v>0</v>
      </c>
      <c r="AF19" s="828">
        <f t="shared" si="7"/>
        <v>534</v>
      </c>
      <c r="AG19" s="828">
        <f t="shared" si="7"/>
        <v>0</v>
      </c>
      <c r="AH19" s="828">
        <f t="shared" si="7"/>
        <v>54</v>
      </c>
      <c r="AI19" s="828">
        <f t="shared" si="7"/>
        <v>0</v>
      </c>
      <c r="AJ19" s="821">
        <f t="shared" si="7"/>
        <v>0</v>
      </c>
      <c r="AK19" s="828">
        <f t="shared" si="7"/>
        <v>0</v>
      </c>
      <c r="AL19" s="828">
        <f t="shared" si="7"/>
        <v>0</v>
      </c>
      <c r="AM19" s="828">
        <f t="shared" si="7"/>
        <v>1106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92</v>
      </c>
      <c r="BD19" s="820">
        <f t="shared" si="7"/>
        <v>144</v>
      </c>
      <c r="BE19" s="820">
        <f t="shared" si="7"/>
        <v>0</v>
      </c>
      <c r="BF19" s="830">
        <f t="shared" si="7"/>
        <v>0</v>
      </c>
      <c r="BG19" s="915">
        <f>IF(ISNUMBER(Datos!K19/Datos!J19),Datos!K19/Datos!J19," - ")</f>
        <v>0.72666666666666668</v>
      </c>
      <c r="BH19" s="915">
        <f>IF(ISNUMBER(((Datos!L19/Datos!K19)*11)/factor_trimestre),((Datos!L19/Datos!K19)*11)/factor_trimestre," - ")</f>
        <v>10.424311926605505</v>
      </c>
      <c r="BI19" s="813">
        <f>IF(ISNUMBER(Datos!J19/Datos!I19),Datos!J19/Datos!I19," - ")</f>
        <v>0.43731778425655976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-0.52040816326530615</v>
      </c>
      <c r="BM19" s="889">
        <f>IF(ISNUMBER((Datos!P19-Datos!Q19+R19)/(Datos!R19-Datos!P19+Datos!Q19-R19)),(Datos!P19-Datos!Q19+R19)/(Datos!R19-Datos!P19+Datos!Q19-R19)," - ")</f>
        <v>2.5023169601482854E-2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210.15549798502377</v>
      </c>
      <c r="G21" s="552">
        <f>IF(ISNUMBER(STDEV(G8:G18)),STDEV(G8:G18),"-")</f>
        <v>215.60333949176206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101.05345120281642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32.623100200113825</v>
      </c>
      <c r="BD21" s="551"/>
      <c r="BE21" s="551">
        <f>IF(ISNUMBER(STDEV(BE8:BE18)),STDEV(BE8:BE18),"-")</f>
        <v>0</v>
      </c>
      <c r="BF21" s="556">
        <f>IF(ISNUMBER(STDEV(BF8:BF18)),STDEV(BF8:BF18),"-")</f>
        <v>0</v>
      </c>
      <c r="BG21" s="775">
        <f>IF(ISNUMBER(STDEV(BG8:BG18)),STDEV(BG8:BG18),"-")</f>
        <v>0.18285285849097918</v>
      </c>
      <c r="BH21" s="776">
        <f>IF(ISNUMBER(STDEV(BH8:BH18)),STDEV(BH8:BH18),"-")</f>
        <v>14.341456400852771</v>
      </c>
      <c r="BI21" s="249">
        <f>IF(ISNUMBER(STDEV(BI8:BI18)),STDEV(BI8:BI18),"-")</f>
        <v>0.11489314565886148</v>
      </c>
      <c r="BJ21" s="230" t="str">
        <f>IF(ISNUMBER(BL21/BM21),BL21/BM21," - ")</f>
        <v xml:space="preserve"> - </v>
      </c>
      <c r="BK21" s="575"/>
      <c r="BL21" s="559">
        <f>IF(ISNUMBER(STDEV(BL8:BL18)),STDEV(BL8:BL18),"-")</f>
        <v>0.32923490340960948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YGZKZJ5xRx+NkzCtvF9ZEwGNyxYgSP+/0XSvyHOyAWqdFWY1s9xg7Iqg6HMBapcFzrP++TODeBDaPxiBCGxwQ==" saltValue="I3moHjFooB3YO2YWtkky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ORDES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v>
      </c>
      <c r="AA12" s="332" t="str">
        <f>IF(ISNUMBER(IF(J_V="SI",Datos!L12,Datos!L12+Datos!AB12)-IF(Monitorios="SI",Datos!CD12,0)),
                          IF(J_V="SI",Datos!L12,Datos!L12+Datos!AB12)-IF(Monitorios="SI",Datos!CD12,0),
                          " - ")</f>
        <v xml:space="preserve"> - </v>
      </c>
      <c r="AB12" s="334"/>
      <c r="AC12" s="334"/>
      <c r="AD12" s="484"/>
      <c r="AE12" s="484">
        <f>IF(ISNUMBER(Datos!R12),Datos!R12," - ")</f>
        <v>1070</v>
      </c>
      <c r="AF12" s="229" t="str">
        <f>IF(ISNUMBER(Datos!BV12),Datos!BV12," - ")</f>
        <v xml:space="preserve"> - </v>
      </c>
      <c r="AG12" s="225" t="str">
        <f>IF(ISNUMBER(Datos!DV12),Datos!DV12," - ")</f>
        <v xml:space="preserve"> - </v>
      </c>
      <c r="AH12" s="298"/>
      <c r="AI12" s="227"/>
      <c r="AJ12" s="225">
        <f>IF(ISNUMBER(Datos!M12),Datos!M12," - ")</f>
        <v>71</v>
      </c>
      <c r="AK12" s="229">
        <f>IF(ISNUMBER(Datos!N12),Datos!N12," - ")</f>
        <v>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12.272727272727273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2.5886864813039309E-2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37</v>
      </c>
      <c r="AA13" s="900">
        <f t="shared" si="2"/>
        <v>15</v>
      </c>
      <c r="AB13" s="900">
        <f t="shared" si="2"/>
        <v>0</v>
      </c>
      <c r="AC13" s="900">
        <f t="shared" si="2"/>
        <v>0</v>
      </c>
      <c r="AD13" s="900">
        <f t="shared" si="2"/>
        <v>0</v>
      </c>
      <c r="AE13" s="900">
        <f t="shared" si="2"/>
        <v>1072</v>
      </c>
      <c r="AF13" s="908">
        <f t="shared" si="2"/>
        <v>0</v>
      </c>
      <c r="AG13" s="908">
        <f t="shared" si="2"/>
        <v>0</v>
      </c>
      <c r="AH13" s="908">
        <f t="shared" si="2"/>
        <v>0</v>
      </c>
      <c r="AI13" s="908">
        <f t="shared" si="2"/>
        <v>0</v>
      </c>
      <c r="AJ13" s="908">
        <f t="shared" si="2"/>
        <v>71</v>
      </c>
      <c r="AK13" s="908">
        <f t="shared" si="2"/>
        <v>53</v>
      </c>
      <c r="AL13" s="908">
        <f t="shared" si="2"/>
        <v>0</v>
      </c>
      <c r="AM13" s="908">
        <f t="shared" si="2"/>
        <v>0</v>
      </c>
      <c r="AN13" s="908">
        <f t="shared" si="2"/>
        <v>0</v>
      </c>
      <c r="AO13" s="904">
        <f>IF(ISNUMBER(((NºAsuntos!I13/NºAsuntos!G13)*11)/factor_trimestre),((NºAsuntos!I13/NºAsuntos!G13)*11)/factor_trimestre," - ")</f>
        <v>12.401574803149607</v>
      </c>
      <c r="AP13" s="910" t="str">
        <f>IF(ISNUMBER(Datos!CI13/Datos!CJ13),Datos!CI13/Datos!CJ13," - ")</f>
        <v xml:space="preserve"> - </v>
      </c>
      <c r="AQ13" s="928">
        <f t="shared" ref="AQ13:AV13" si="3">SUBTOTAL(9,AQ9:AQ12)</f>
        <v>0</v>
      </c>
      <c r="AR13" s="928">
        <f t="shared" si="3"/>
        <v>2.5886864813039309E-2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378</v>
      </c>
      <c r="G16" s="225">
        <f>IF(ISNUMBER(IF(D_I="SI",Datos!I16,Datos!I16+Datos!AC16)),IF(D_I="SI",Datos!I16,Datos!I16+Datos!AC16)," - ")</f>
        <v>378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180</v>
      </c>
      <c r="Z16" s="619">
        <f>IF(ISNUMBER(Datos!Q16),Datos!Q16," - ")</f>
        <v>3</v>
      </c>
      <c r="AA16" s="332">
        <f>IF(ISNUMBER(IF(D_I="SI",Datos!L16,Datos!L16+Datos!AF16)),IF(D_I="SI",Datos!L16,Datos!L16+Datos!AF16)," - ")</f>
        <v>426</v>
      </c>
      <c r="AB16" s="334"/>
      <c r="AC16" s="334"/>
      <c r="AD16" s="484"/>
      <c r="AE16" s="484">
        <f>IF(ISNUMBER(Datos!R16),Datos!R16," - ")</f>
        <v>34</v>
      </c>
      <c r="AF16" s="229" t="str">
        <f>IF(ISNUMBER(Datos!BV16),Datos!BV16," - ")</f>
        <v xml:space="preserve"> - </v>
      </c>
      <c r="AG16" s="225"/>
      <c r="AH16" s="298"/>
      <c r="AI16" s="227"/>
      <c r="AJ16" s="225">
        <f>IF(ISNUMBER(Datos!M16),Datos!M16," - ")</f>
        <v>21</v>
      </c>
      <c r="AK16" s="229">
        <f>IF(ISNUMBER(Datos!N16),Datos!N16," - ")</f>
        <v>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7.1000000000000005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0</v>
      </c>
      <c r="AA17" s="332">
        <f>IF(ISNUMBER(Datos!L17),Datos!L17,"-")</f>
        <v>93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12.130434782608697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378</v>
      </c>
      <c r="G18" s="898">
        <f>SUBTOTAL(9,G15:G17)</f>
        <v>472</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203</v>
      </c>
      <c r="Z18" s="932">
        <f t="shared" si="5"/>
        <v>3</v>
      </c>
      <c r="AA18" s="932">
        <f t="shared" si="5"/>
        <v>519</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21</v>
      </c>
      <c r="AK18" s="932">
        <f t="shared" si="5"/>
        <v>91</v>
      </c>
      <c r="AL18" s="932">
        <f t="shared" si="5"/>
        <v>0</v>
      </c>
      <c r="AM18" s="932">
        <f t="shared" si="5"/>
        <v>0</v>
      </c>
      <c r="AN18" s="932">
        <f t="shared" si="5"/>
        <v>0</v>
      </c>
      <c r="AO18" s="934">
        <f>IF(ISNUMBER(((NºAsuntos!I18/NºAsuntos!G18)*11)/factor_trimestre),((NºAsuntos!I18/NºAsuntos!G18)*11)/factor_trimestre," - ")</f>
        <v>7.6699507389162562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392</v>
      </c>
      <c r="G19" s="820">
        <f t="shared" si="7"/>
        <v>486</v>
      </c>
      <c r="H19" s="821">
        <f t="shared" si="7"/>
        <v>0</v>
      </c>
      <c r="I19" s="820">
        <f t="shared" si="7"/>
        <v>0</v>
      </c>
      <c r="J19" s="822">
        <f t="shared" si="7"/>
        <v>0</v>
      </c>
      <c r="K19" s="820">
        <f t="shared" si="7"/>
        <v>0</v>
      </c>
      <c r="L19" s="823">
        <f t="shared" si="7"/>
        <v>0</v>
      </c>
      <c r="M19" s="820">
        <f t="shared" si="7"/>
        <v>0</v>
      </c>
      <c r="N19" s="821">
        <f t="shared" si="7"/>
        <v>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204</v>
      </c>
      <c r="Z19" s="827">
        <f t="shared" si="8"/>
        <v>40</v>
      </c>
      <c r="AA19" s="828">
        <f t="shared" si="8"/>
        <v>534</v>
      </c>
      <c r="AB19" s="828">
        <f t="shared" si="8"/>
        <v>0</v>
      </c>
      <c r="AC19" s="828">
        <f t="shared" si="8"/>
        <v>0</v>
      </c>
      <c r="AD19" s="829">
        <f t="shared" si="8"/>
        <v>0</v>
      </c>
      <c r="AE19" s="829">
        <f t="shared" si="8"/>
        <v>1106</v>
      </c>
      <c r="AF19" s="830">
        <f t="shared" si="8"/>
        <v>0</v>
      </c>
      <c r="AG19" s="831">
        <f t="shared" si="8"/>
        <v>0</v>
      </c>
      <c r="AH19" s="832">
        <f t="shared" si="8"/>
        <v>0</v>
      </c>
      <c r="AI19" s="830">
        <f t="shared" si="8"/>
        <v>0</v>
      </c>
      <c r="AJ19" s="820">
        <f t="shared" si="8"/>
        <v>92</v>
      </c>
      <c r="AK19" s="820">
        <f t="shared" si="8"/>
        <v>144</v>
      </c>
      <c r="AL19" s="820">
        <f t="shared" si="8"/>
        <v>0</v>
      </c>
      <c r="AM19" s="833">
        <f t="shared" si="8"/>
        <v>0</v>
      </c>
      <c r="AN19" s="823">
        <f>IF(ISNUMBER(Datos!K19/Datos!J19),Datos!K19/Datos!J19," - ")</f>
        <v>0.72666666666666668</v>
      </c>
      <c r="AO19" s="823">
        <f>IF(ISNUMBER(FIND("06",Criterios!A8,1)),(IF(ISNUMBER(((Datos!R19/Datos!Q19)*11)/factor_trimestre),((Datos!R19/Datos!Q19)*11)/factor_trimestre," - ")),(IF(ISNUMBER(((Datos!L19/Datos!K19)*11)/factor_trimestre),((Datos!L19/Datos!K19)*11)/factor_trimestre," - ")))</f>
        <v>10.424311926605505</v>
      </c>
      <c r="AP19" s="834" t="str">
        <f>IF(ISNUMBER(Datos!CI19/Datos!CJ19),Datos!CI19/Datos!CJ19," - ")</f>
        <v xml:space="preserve"> - </v>
      </c>
      <c r="AQ19" s="834">
        <f>IF(OR(ISNUMBER(FIND("01",Criterios!A8,1)),ISNUMBER(FIND("02",Criterios!A8,1)),ISNUMBER(FIND("03",Criterios!A8,1)),ISNUMBER(FIND("04",Criterios!A8,1))),(J19-Y19+K19)/(F19-K19),(I19-Y19+K19)/(F19-K19))</f>
        <v>-0.52040816326530615</v>
      </c>
      <c r="AR19" s="834">
        <f>IF(ISNUMBER((Datos!P19-Datos!Q19+O19)/(Datos!R19-Datos!P19+Datos!Q19-O19)),(Datos!P19-Datos!Q19+O19)/(Datos!R19-Datos!P19+Datos!Q19-O19)," - ")</f>
        <v>2.5023169601482854E-2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210.15549798502377</v>
      </c>
      <c r="G21" s="552">
        <f>IF(ISNUMBER(STDEV(G8:G18)),STDEV(G8:G18),"-")</f>
        <v>215.60333949176206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32.623100200113825</v>
      </c>
      <c r="AK21" s="252"/>
      <c r="AL21" s="252">
        <f>IF(ISNUMBER(STDEV(AL8:AL18)),STDEV(AL8:AL18),"-")</f>
        <v>0</v>
      </c>
      <c r="AM21" s="254">
        <f>IF(ISNUMBER(STDEV(AM8:AM18)),STDEV(AM8:AM18),"-")</f>
        <v>0</v>
      </c>
      <c r="AN21" s="539">
        <f>IF(ISNUMBER(STDEV(AN8:AN18)),STDEV(AN8:AN18),"-")</f>
        <v>0</v>
      </c>
      <c r="AO21" s="540">
        <f>IF(ISNUMBER(STDEV(AO8:AO18)),STDEV(AO8:AO18),"-")</f>
        <v>14.362168619249374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FEHnA7jAOnj2vb/aoBbdR5bRq6X3DO5Zq0vcSnT1ztmoBeRvHaI2dVhi8thQ13hYLGDwcg63gVZRWEpDvf2Xg==" saltValue="FjIYUc4H7XYVIBXpnxma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7Izl7tG2gLLkQ8+NHlhqBZVeFbfBlddoT2evlrueQXx4RRieuvs2oQIzh4Q36T4nCNLSxaVL0hy0ea/OH9hZw==" saltValue="9yFPhI71+RYINMgti3ug4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3PPXLbiBUnvY6cJVWnxvbpAUsoYDEyA8vSJfNrmE2DorJmYsFC3AY5Efq/+0x22S6X2YMreo+iVJemK4OjGTA==" saltValue="RbNJ1h0JcbOQq51Hnxeb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0.27952755905511811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0.19765583253639715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jdFby8HEj2JfCpOLD/3y5zrzEFmI8nOluSjxrdwi7Ue5YND2CQ4H7d7sTv6Xfge9sM5DR/JGwTIX9kUkLipcnw==" saltValue="2epdJieF9ESseYZR359xL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Ish0niHVcr9RcByTY7LT8bz4Hpt8bsruy1jMjjEDgBfWmNL1bHlRBkhwGLijlMUDQpiOSIhn1CVqc/0K2E5Zg==" saltValue="68SdkDjfyPqSzL6VHJDD8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ORDES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71</v>
      </c>
      <c r="AM12" s="690">
        <f>IF(ISNUMBER(Datos!N12+DatosP!N16),Datos!N12+DatosP!N16," - ")</f>
        <v>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12.272727272727273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2.5886864813039309E-2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37</v>
      </c>
      <c r="AE13" s="939">
        <f t="shared" si="1"/>
        <v>0</v>
      </c>
      <c r="AF13" s="939">
        <f t="shared" si="1"/>
        <v>15</v>
      </c>
      <c r="AG13" s="939">
        <f t="shared" si="1"/>
        <v>0</v>
      </c>
      <c r="AH13" s="939">
        <f t="shared" si="1"/>
        <v>1070</v>
      </c>
      <c r="AI13" s="939">
        <f t="shared" si="1"/>
        <v>0</v>
      </c>
      <c r="AJ13" s="939">
        <f t="shared" si="1"/>
        <v>0</v>
      </c>
      <c r="AK13" s="939">
        <f t="shared" si="1"/>
        <v>0</v>
      </c>
      <c r="AL13" s="939">
        <f t="shared" si="1"/>
        <v>71</v>
      </c>
      <c r="AM13" s="939">
        <f t="shared" si="1"/>
        <v>53</v>
      </c>
      <c r="AN13" s="939">
        <f t="shared" si="1"/>
        <v>0</v>
      </c>
      <c r="AO13" s="939">
        <f t="shared" si="1"/>
        <v>0</v>
      </c>
      <c r="AP13" s="944">
        <f>IF(ISNUMBER(((Datos!L13/Datos!K13)*11)/factor_trimestre),((Datos!L13/Datos!K13)*11)/factor_trimestre," - ")</f>
        <v>12.824034334763951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-7.1428571428571425E-2</v>
      </c>
      <c r="AU13" s="939" t="str">
        <f>IF(ISNUMBER((DatosP!#REF!-DatosP!#REF!+DatosP!#REF!)/(DatosP!#REF!+DatosP!#REF!-DatosP!#REF!-DatosP!#REF!)),(DatosP!#REF!-DatosP!#REF!+DatosP!#REF!)/(DatosP!#REF!+DatosP!#REF!-DatosP!#REF!-DatosP!#REF!)," - ")</f>
        <v xml:space="preserve"> - </v>
      </c>
      <c r="AV13" s="945">
        <f>SUBTOTAL(9,AV9:AV12)</f>
        <v>2.5886864813039309E-2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7.6699507389162562</v>
      </c>
      <c r="AQ18" s="944">
        <f>IF(ISNUMBER(((Datos!M18/Datos!L18)*11)/factor_trimestre),((Datos!M18/Datos!L18)*11)/factor_trimestre," - ")</f>
        <v>0.12138728323699423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-6.4182194616977231E-2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37</v>
      </c>
      <c r="AE19" s="957">
        <f t="shared" si="5"/>
        <v>0</v>
      </c>
      <c r="AF19" s="958">
        <f t="shared" si="5"/>
        <v>15</v>
      </c>
      <c r="AG19" s="958">
        <f t="shared" si="5"/>
        <v>0</v>
      </c>
      <c r="AH19" s="958">
        <f t="shared" si="5"/>
        <v>1070</v>
      </c>
      <c r="AI19" s="958">
        <f t="shared" si="5"/>
        <v>0</v>
      </c>
      <c r="AJ19" s="959">
        <f t="shared" si="5"/>
        <v>0</v>
      </c>
      <c r="AK19" s="959">
        <f t="shared" si="5"/>
        <v>0</v>
      </c>
      <c r="AL19" s="951">
        <f t="shared" si="5"/>
        <v>71</v>
      </c>
      <c r="AM19" s="951">
        <f t="shared" si="5"/>
        <v>53</v>
      </c>
      <c r="AN19" s="951">
        <f t="shared" si="5"/>
        <v>0</v>
      </c>
      <c r="AO19" s="951">
        <f t="shared" si="5"/>
        <v>0</v>
      </c>
      <c r="AP19" s="951">
        <f>IF(ISNUMBER(((Datos!L19/Datos!K19)*11)/factor_trimestre),((Datos!L19/Datos!K19)*11)/factor_trimestre," - ")</f>
        <v>10.424311926605505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-7.1428571428571425E-2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2.5023169601482854E-2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40.991869112463426</v>
      </c>
      <c r="AM21" s="736"/>
      <c r="AN21" s="736">
        <f>IF(ISNUMBER(STDEV(AN8:AN18)),STDEV(AN8:AN18),"-")</f>
        <v>0</v>
      </c>
      <c r="AO21" s="742">
        <f>IF(ISNUMBER(STDEV(AO8:AO18)),STDEV(AO8:AO18),"-")</f>
        <v>0</v>
      </c>
      <c r="AP21" s="779">
        <f>IF(ISNUMBER(STDEV(AP8:AP18)),STDEV(AP8:AP18),"-")</f>
        <v>17.194848534518787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7TRs5934hvdg3hd7eSdbF41VYX5/JnzQTdP8mKdMFT7kfW7afnoF59MiH9WeWcvWiyNrb3VLjQf/oleNR5kqvg==" saltValue="38qMy9DzYy70neVB2i7jK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